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bruna.gama\Desktop\"/>
    </mc:Choice>
  </mc:AlternateContent>
  <xr:revisionPtr revIDLastSave="0" documentId="13_ncr:1_{8E30DEF4-C3B5-4ADB-8288-D48C90F44EFA}" xr6:coauthVersionLast="47" xr6:coauthVersionMax="47" xr10:uidLastSave="{00000000-0000-0000-0000-000000000000}"/>
  <bookViews>
    <workbookView xWindow="-120" yWindow="-120" windowWidth="29040" windowHeight="15720" tabRatio="758" activeTab="6" xr2:uid="{00000000-000D-0000-FFFF-FFFF00000000}"/>
  </bookViews>
  <sheets>
    <sheet name="Execução Orçamentária" sheetId="6" r:id="rId1"/>
    <sheet name="CONSOLIDADO" sheetId="7" r:id="rId2"/>
    <sheet name="CONTROLE LDE" sheetId="8" r:id="rId3"/>
    <sheet name="Diárias" sheetId="15" r:id="rId4"/>
    <sheet name="Adiantamentos" sheetId="14" r:id="rId5"/>
    <sheet name="Pecúnia" sheetId="21" r:id="rId6"/>
    <sheet name="Progressão" sheetId="23" r:id="rId7"/>
    <sheet name="Despesas Condomínio" sheetId="12" r:id="rId8"/>
    <sheet name="RATEIO CONDOMÍNIO" sheetId="9" r:id="rId9"/>
    <sheet name="RATEIO CONDOMÍNIO 2025" sheetId="22" r:id="rId10"/>
    <sheet name="Controle Receb. Condomínio" sheetId="11" r:id="rId11"/>
  </sheets>
  <definedNames>
    <definedName name="_xlnm._FilterDatabase" localSheetId="0" hidden="1">'Execução Orçamentária'!$A$21:$S$137</definedName>
    <definedName name="_xlnm.Print_Area" localSheetId="0">'Execução Orçamentária'!$A$33:$R$138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6" l="1"/>
  <c r="L39" i="6"/>
  <c r="M39" i="6"/>
  <c r="N39" i="6"/>
  <c r="O39" i="6"/>
  <c r="P39" i="6"/>
  <c r="Q39" i="6"/>
  <c r="N42" i="6"/>
  <c r="M48" i="6"/>
  <c r="O79" i="6"/>
  <c r="P79" i="6"/>
  <c r="Q79" i="6"/>
  <c r="K52" i="6"/>
  <c r="K60" i="6"/>
  <c r="J42" i="6"/>
  <c r="J142" i="6"/>
  <c r="Q140" i="6"/>
  <c r="Q141" i="6"/>
  <c r="K142" i="6"/>
  <c r="L142" i="6"/>
  <c r="M142" i="6"/>
  <c r="N142" i="6"/>
  <c r="O142" i="6"/>
  <c r="P142" i="6"/>
  <c r="Q142" i="6"/>
  <c r="K143" i="6"/>
  <c r="J140" i="6"/>
  <c r="B139" i="6"/>
  <c r="E4" i="7"/>
  <c r="J4" i="7"/>
  <c r="K14" i="7"/>
  <c r="J14" i="7"/>
  <c r="K11" i="7"/>
  <c r="K10" i="7"/>
  <c r="J10" i="7"/>
  <c r="K9" i="7"/>
  <c r="J9" i="7"/>
  <c r="K8" i="7"/>
  <c r="J8" i="7"/>
  <c r="K5" i="7"/>
  <c r="J5" i="7"/>
  <c r="K104" i="6"/>
  <c r="J121" i="6"/>
  <c r="R121" i="6"/>
  <c r="H4" i="7"/>
  <c r="J43" i="6"/>
  <c r="I155" i="6"/>
  <c r="I44" i="6"/>
  <c r="R122" i="6"/>
  <c r="J67" i="6"/>
  <c r="I43" i="6"/>
  <c r="R27" i="6"/>
  <c r="I146" i="6"/>
  <c r="E22" i="23"/>
  <c r="E23" i="23"/>
  <c r="E24" i="23"/>
  <c r="E19" i="23"/>
  <c r="E20" i="23"/>
  <c r="E21" i="23"/>
  <c r="E25" i="23"/>
  <c r="E26" i="23"/>
  <c r="E27" i="23"/>
  <c r="E6" i="7"/>
  <c r="B33" i="6"/>
  <c r="I67" i="6"/>
  <c r="J143" i="6"/>
  <c r="I143" i="6"/>
  <c r="I141" i="6"/>
  <c r="I140" i="6"/>
  <c r="R78" i="6"/>
  <c r="R77" i="6" l="1"/>
  <c r="H126" i="6"/>
  <c r="F4" i="8"/>
  <c r="G8" i="7"/>
  <c r="G16" i="7" s="1"/>
  <c r="I135" i="6"/>
  <c r="J39" i="6"/>
  <c r="H39" i="6"/>
  <c r="I39" i="6"/>
  <c r="H43" i="6"/>
  <c r="G70" i="6"/>
  <c r="H40" i="6"/>
  <c r="G67" i="6"/>
  <c r="G43" i="6"/>
  <c r="B3" i="15"/>
  <c r="G25" i="6"/>
  <c r="I25" i="6"/>
  <c r="J25" i="6"/>
  <c r="K25" i="6"/>
  <c r="L25" i="6"/>
  <c r="M25" i="6"/>
  <c r="N25" i="6"/>
  <c r="O25" i="6"/>
  <c r="P25" i="6"/>
  <c r="Q25" i="6"/>
  <c r="F25" i="6"/>
  <c r="I95" i="6"/>
  <c r="R95" i="6" s="1"/>
  <c r="H140" i="6"/>
  <c r="G142" i="6"/>
  <c r="R76" i="6"/>
  <c r="F90" i="6"/>
  <c r="R75" i="6"/>
  <c r="G39" i="6"/>
  <c r="F129" i="6"/>
  <c r="R131" i="6"/>
  <c r="R130" i="6"/>
  <c r="J11" i="7"/>
  <c r="G129" i="6"/>
  <c r="H129" i="6"/>
  <c r="I129" i="6"/>
  <c r="J129" i="6"/>
  <c r="K129" i="6"/>
  <c r="L129" i="6"/>
  <c r="M129" i="6"/>
  <c r="N129" i="6"/>
  <c r="O129" i="6"/>
  <c r="P129" i="6"/>
  <c r="Q129" i="6"/>
  <c r="E8" i="7"/>
  <c r="B93" i="6"/>
  <c r="E7" i="7"/>
  <c r="B86" i="6"/>
  <c r="H16" i="7"/>
  <c r="E15" i="7"/>
  <c r="E14" i="7"/>
  <c r="E13" i="7"/>
  <c r="E5" i="7"/>
  <c r="H141" i="6"/>
  <c r="H26" i="6"/>
  <c r="H25" i="6" s="1"/>
  <c r="H143" i="6"/>
  <c r="D3" i="21" s="1"/>
  <c r="H102" i="6"/>
  <c r="G151" i="6"/>
  <c r="F151" i="6"/>
  <c r="E7" i="23"/>
  <c r="E5" i="23"/>
  <c r="E4" i="23"/>
  <c r="E6" i="23"/>
  <c r="E8" i="23"/>
  <c r="E9" i="23"/>
  <c r="E10" i="23"/>
  <c r="E11" i="23"/>
  <c r="E12" i="23"/>
  <c r="E13" i="23"/>
  <c r="E14" i="23"/>
  <c r="E15" i="23"/>
  <c r="E16" i="23"/>
  <c r="E17" i="23"/>
  <c r="E18" i="23"/>
  <c r="E28" i="23"/>
  <c r="E29" i="23"/>
  <c r="E3" i="23"/>
  <c r="F154" i="6"/>
  <c r="G33" i="6" l="1"/>
  <c r="R135" i="6"/>
  <c r="R25" i="6"/>
  <c r="R32" i="6" s="1"/>
  <c r="R129" i="6"/>
  <c r="R132" i="6" s="1"/>
  <c r="H139" i="6"/>
  <c r="R70" i="6"/>
  <c r="K98" i="6"/>
  <c r="C7" i="8"/>
  <c r="R73" i="6"/>
  <c r="G124" i="6"/>
  <c r="H124" i="6"/>
  <c r="B98" i="6"/>
  <c r="Q98" i="6"/>
  <c r="F98" i="6"/>
  <c r="G98" i="6"/>
  <c r="H98" i="6"/>
  <c r="I98" i="6"/>
  <c r="J98" i="6"/>
  <c r="L98" i="6"/>
  <c r="M98" i="6"/>
  <c r="N98" i="6"/>
  <c r="O98" i="6"/>
  <c r="P98" i="6"/>
  <c r="G86" i="6"/>
  <c r="H86" i="6"/>
  <c r="I86" i="6"/>
  <c r="J86" i="6"/>
  <c r="K86" i="6"/>
  <c r="L86" i="6"/>
  <c r="M86" i="6"/>
  <c r="N86" i="6"/>
  <c r="O86" i="6"/>
  <c r="P86" i="6"/>
  <c r="Q86" i="6"/>
  <c r="F86" i="6"/>
  <c r="G134" i="6"/>
  <c r="H134" i="6"/>
  <c r="I134" i="6"/>
  <c r="J134" i="6"/>
  <c r="K134" i="6"/>
  <c r="L134" i="6"/>
  <c r="M134" i="6"/>
  <c r="N134" i="6"/>
  <c r="O134" i="6"/>
  <c r="P134" i="6"/>
  <c r="Q134" i="6"/>
  <c r="F134" i="6"/>
  <c r="F120" i="6"/>
  <c r="G93" i="6"/>
  <c r="H93" i="6"/>
  <c r="I93" i="6"/>
  <c r="J93" i="6"/>
  <c r="K93" i="6"/>
  <c r="L93" i="6"/>
  <c r="M93" i="6"/>
  <c r="N93" i="6"/>
  <c r="O93" i="6"/>
  <c r="P93" i="6"/>
  <c r="Q93" i="6"/>
  <c r="F93" i="6"/>
  <c r="R88" i="6"/>
  <c r="R89" i="6"/>
  <c r="R90" i="6"/>
  <c r="R87" i="6"/>
  <c r="G140" i="6"/>
  <c r="G141" i="6"/>
  <c r="R72" i="6"/>
  <c r="R71" i="6"/>
  <c r="B134" i="6"/>
  <c r="E16" i="7"/>
  <c r="D12" i="7"/>
  <c r="F140" i="6"/>
  <c r="F139" i="6" s="1"/>
  <c r="I8" i="7" l="1"/>
  <c r="L8" i="7" s="1"/>
  <c r="I5" i="7"/>
  <c r="L5" i="7" s="1"/>
  <c r="J7" i="7"/>
  <c r="I7" i="7" s="1"/>
  <c r="L7" i="7" s="1"/>
  <c r="R124" i="6"/>
  <c r="I11" i="7"/>
  <c r="L11" i="7" s="1"/>
  <c r="M11" i="7" s="1"/>
  <c r="R134" i="6"/>
  <c r="R137" i="6" s="1"/>
  <c r="D16" i="7"/>
  <c r="E12" i="7"/>
  <c r="R98" i="6"/>
  <c r="R38" i="6"/>
  <c r="R86" i="6"/>
  <c r="R91" i="6" s="1"/>
  <c r="C3" i="15"/>
  <c r="G148" i="6"/>
  <c r="G139" i="6" s="1"/>
  <c r="R69" i="6"/>
  <c r="G120" i="6"/>
  <c r="R68" i="6"/>
  <c r="M7" i="7" l="1"/>
  <c r="I10" i="7"/>
  <c r="L10" i="7" s="1"/>
  <c r="I120" i="6" l="1"/>
  <c r="J120" i="6"/>
  <c r="K120" i="6"/>
  <c r="L120" i="6"/>
  <c r="M120" i="6"/>
  <c r="N120" i="6"/>
  <c r="O120" i="6"/>
  <c r="P120" i="6"/>
  <c r="Q120" i="6"/>
  <c r="H120" i="6"/>
  <c r="R126" i="6"/>
  <c r="R125" i="6"/>
  <c r="I9" i="7" l="1"/>
  <c r="L9" i="7" s="1"/>
  <c r="R111" i="6"/>
  <c r="R112" i="6"/>
  <c r="R113" i="6"/>
  <c r="R114" i="6"/>
  <c r="R115" i="6"/>
  <c r="R116" i="6"/>
  <c r="R117" i="6"/>
  <c r="R106" i="6"/>
  <c r="R107" i="6"/>
  <c r="R108" i="6"/>
  <c r="R109" i="6"/>
  <c r="R110" i="6"/>
  <c r="R104" i="6"/>
  <c r="R103" i="6"/>
  <c r="R105" i="6"/>
  <c r="R74" i="6"/>
  <c r="R80" i="6"/>
  <c r="R81" i="6"/>
  <c r="R82" i="6"/>
  <c r="R94" i="6"/>
  <c r="R83" i="6"/>
  <c r="R79" i="6" l="1"/>
  <c r="R35" i="6"/>
  <c r="R36" i="6"/>
  <c r="R37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34" i="6"/>
  <c r="R143" i="6" l="1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I139" i="6"/>
  <c r="J139" i="6"/>
  <c r="K139" i="6"/>
  <c r="L139" i="6"/>
  <c r="M139" i="6"/>
  <c r="N139" i="6"/>
  <c r="O139" i="6"/>
  <c r="P139" i="6"/>
  <c r="R141" i="6"/>
  <c r="Q139" i="6" l="1"/>
  <c r="K4" i="7" s="1"/>
  <c r="R140" i="6"/>
  <c r="R118" i="6"/>
  <c r="M10" i="7" s="1"/>
  <c r="R40" i="6"/>
  <c r="R142" i="6"/>
  <c r="R28" i="6"/>
  <c r="R29" i="6"/>
  <c r="R30" i="6"/>
  <c r="R26" i="6"/>
  <c r="Q33" i="6"/>
  <c r="H33" i="6"/>
  <c r="I33" i="6"/>
  <c r="J33" i="6"/>
  <c r="K33" i="6"/>
  <c r="L33" i="6"/>
  <c r="M33" i="6"/>
  <c r="N33" i="6"/>
  <c r="O33" i="6"/>
  <c r="P33" i="6"/>
  <c r="K16" i="7" l="1"/>
  <c r="Y32" i="9"/>
  <c r="F39" i="6" l="1"/>
  <c r="B38" i="22"/>
  <c r="I37" i="22"/>
  <c r="D37" i="22"/>
  <c r="K36" i="22"/>
  <c r="E34" i="22"/>
  <c r="L33" i="22"/>
  <c r="K32" i="22"/>
  <c r="L29" i="22" s="1"/>
  <c r="D33" i="22"/>
  <c r="E30" i="22" s="1"/>
  <c r="D29" i="22"/>
  <c r="E26" i="22" s="1"/>
  <c r="K28" i="22"/>
  <c r="D25" i="22"/>
  <c r="E24" i="22"/>
  <c r="L23" i="22"/>
  <c r="D23" i="22"/>
  <c r="E20" i="22" s="1"/>
  <c r="K22" i="22"/>
  <c r="L19" i="22"/>
  <c r="D19" i="22"/>
  <c r="E18" i="22" s="1"/>
  <c r="K18" i="22"/>
  <c r="L17" i="22" s="1"/>
  <c r="D17" i="22"/>
  <c r="E14" i="22" s="1"/>
  <c r="K16" i="22"/>
  <c r="L13" i="22"/>
  <c r="D13" i="22"/>
  <c r="K12" i="22"/>
  <c r="L10" i="22" s="1"/>
  <c r="E12" i="22"/>
  <c r="D11" i="22"/>
  <c r="E8" i="22" s="1"/>
  <c r="D7" i="22"/>
  <c r="E4" i="22" s="1"/>
  <c r="E38" i="22" s="1"/>
  <c r="K9" i="22"/>
  <c r="L6" i="22" s="1"/>
  <c r="Y12" i="9"/>
  <c r="M13" i="11"/>
  <c r="F3" i="14"/>
  <c r="G3" i="14"/>
  <c r="H3" i="14"/>
  <c r="I3" i="14"/>
  <c r="J3" i="14"/>
  <c r="K3" i="14"/>
  <c r="L3" i="14"/>
  <c r="M3" i="14"/>
  <c r="N3" i="14"/>
  <c r="O3" i="14"/>
  <c r="P3" i="14"/>
  <c r="E3" i="14"/>
  <c r="Q21" i="14"/>
  <c r="Q22" i="14"/>
  <c r="Q20" i="14"/>
  <c r="L3" i="15"/>
  <c r="M3" i="15"/>
  <c r="F3" i="15"/>
  <c r="J3" i="15"/>
  <c r="F33" i="6" l="1"/>
  <c r="R39" i="6"/>
  <c r="D38" i="22"/>
  <c r="K24" i="22"/>
  <c r="L25" i="22"/>
  <c r="Q3" i="14"/>
  <c r="I6" i="7" l="1"/>
  <c r="L6" i="7" s="1"/>
  <c r="J16" i="7"/>
  <c r="I4" i="7"/>
  <c r="R102" i="6"/>
  <c r="R101" i="6"/>
  <c r="R100" i="6"/>
  <c r="R99" i="6"/>
  <c r="R123" i="6"/>
  <c r="L4" i="7" l="1"/>
  <c r="R93" i="6"/>
  <c r="R96" i="6" s="1"/>
  <c r="M8" i="7" s="1"/>
  <c r="D29" i="9" l="1"/>
  <c r="Y6" i="9" l="1"/>
  <c r="K10" i="8"/>
  <c r="O4" i="8" l="1"/>
  <c r="O5" i="8"/>
  <c r="Q19" i="14"/>
  <c r="Q18" i="14"/>
  <c r="Q3" i="6" l="1"/>
  <c r="P3" i="6"/>
  <c r="O3" i="6"/>
  <c r="N3" i="6"/>
  <c r="M3" i="6"/>
  <c r="Q17" i="14" l="1"/>
  <c r="Z10" i="9"/>
  <c r="AH7" i="9" l="1"/>
  <c r="D16" i="12" l="1"/>
  <c r="Y23" i="9"/>
  <c r="Y24" i="9" s="1"/>
  <c r="Y25" i="9"/>
  <c r="Q16" i="14"/>
  <c r="H3" i="15"/>
  <c r="K3" i="15"/>
  <c r="I3" i="15"/>
  <c r="G3" i="15"/>
  <c r="E3" i="15"/>
  <c r="D3" i="15"/>
  <c r="X17" i="9"/>
  <c r="J29" i="9"/>
  <c r="C30" i="9"/>
  <c r="N3" i="15" l="1"/>
  <c r="Q15" i="14"/>
  <c r="Q14" i="14"/>
  <c r="Q13" i="14"/>
  <c r="Q12" i="14"/>
  <c r="Q11" i="14"/>
  <c r="Q8" i="14"/>
  <c r="Q6" i="14"/>
  <c r="Q5" i="14"/>
  <c r="P34" i="11" l="1"/>
  <c r="Q10" i="14"/>
  <c r="Q7" i="14"/>
  <c r="Q4" i="14"/>
  <c r="Q9" i="14"/>
  <c r="F16" i="7" l="1"/>
  <c r="L3" i="6"/>
  <c r="R32" i="9"/>
  <c r="R8" i="9"/>
  <c r="R11" i="9" s="1"/>
  <c r="S8" i="9" s="1"/>
  <c r="AG24" i="9" s="1"/>
  <c r="I10" i="8"/>
  <c r="Q16" i="6"/>
  <c r="F16" i="6"/>
  <c r="G16" i="6"/>
  <c r="H16" i="6"/>
  <c r="I16" i="6"/>
  <c r="J16" i="6"/>
  <c r="K16" i="6"/>
  <c r="L16" i="6"/>
  <c r="M16" i="6"/>
  <c r="N16" i="6"/>
  <c r="O16" i="6"/>
  <c r="P16" i="6"/>
  <c r="R4" i="6"/>
  <c r="I3" i="6"/>
  <c r="J3" i="6"/>
  <c r="K3" i="6"/>
  <c r="H3" i="6"/>
  <c r="AH29" i="9"/>
  <c r="AF32" i="9"/>
  <c r="AI32" i="9" s="1"/>
  <c r="AF27" i="9"/>
  <c r="AE27" i="9"/>
  <c r="D33" i="8"/>
  <c r="C33" i="8"/>
  <c r="O8" i="8"/>
  <c r="O6" i="8"/>
  <c r="O9" i="8"/>
  <c r="F10" i="8"/>
  <c r="E10" i="8"/>
  <c r="C10" i="8"/>
  <c r="H10" i="8"/>
  <c r="G10" i="8"/>
  <c r="J10" i="8"/>
  <c r="L10" i="8"/>
  <c r="M10" i="8"/>
  <c r="N10" i="8"/>
  <c r="AH11" i="9"/>
  <c r="AG11" i="9"/>
  <c r="W37" i="9"/>
  <c r="Y36" i="9"/>
  <c r="Z33" i="9" s="1"/>
  <c r="AH33" i="9" s="1"/>
  <c r="Y28" i="9"/>
  <c r="Z25" i="9" s="1"/>
  <c r="AH31" i="9" s="1"/>
  <c r="Z23" i="9"/>
  <c r="AH12" i="9" s="1"/>
  <c r="Y22" i="9"/>
  <c r="Z19" i="9" s="1"/>
  <c r="AH28" i="9" s="1"/>
  <c r="Y18" i="9"/>
  <c r="Z17" i="9" s="1"/>
  <c r="AH9" i="9" s="1"/>
  <c r="Y16" i="9"/>
  <c r="Z13" i="9" s="1"/>
  <c r="AH8" i="9" s="1"/>
  <c r="Y9" i="9"/>
  <c r="Z6" i="9" s="1"/>
  <c r="AH24" i="9" s="1"/>
  <c r="P38" i="9"/>
  <c r="R37" i="9"/>
  <c r="S34" i="9" s="1"/>
  <c r="AG15" i="9" s="1"/>
  <c r="R33" i="9"/>
  <c r="S30" i="9" s="1"/>
  <c r="AG14" i="9" s="1"/>
  <c r="R29" i="9"/>
  <c r="S26" i="9" s="1"/>
  <c r="AG31" i="9" s="1"/>
  <c r="R25" i="9"/>
  <c r="S24" i="9"/>
  <c r="AG30" i="9" s="1"/>
  <c r="R23" i="9"/>
  <c r="S20" i="9" s="1"/>
  <c r="AG28" i="9" s="1"/>
  <c r="R19" i="9"/>
  <c r="S18" i="9" s="1"/>
  <c r="AG27" i="9" s="1"/>
  <c r="R17" i="9"/>
  <c r="S14" i="9" s="1"/>
  <c r="R13" i="9"/>
  <c r="S12" i="9" s="1"/>
  <c r="AG25" i="9" s="1"/>
  <c r="R7" i="9"/>
  <c r="S4" i="9" s="1"/>
  <c r="AG23" i="9" s="1"/>
  <c r="I39" i="9"/>
  <c r="K38" i="9"/>
  <c r="L35" i="9" s="1"/>
  <c r="AF33" i="9" s="1"/>
  <c r="K34" i="9"/>
  <c r="L33" i="9" s="1"/>
  <c r="AF14" i="9" s="1"/>
  <c r="K32" i="9"/>
  <c r="L29" i="9" s="1"/>
  <c r="AF13" i="9" s="1"/>
  <c r="K25" i="9"/>
  <c r="K28" i="9" s="1"/>
  <c r="L25" i="9" s="1"/>
  <c r="AF30" i="9" s="1"/>
  <c r="K24" i="9"/>
  <c r="L22" i="9" s="1"/>
  <c r="AF29" i="9" s="1"/>
  <c r="K21" i="9"/>
  <c r="L18" i="9" s="1"/>
  <c r="K17" i="9"/>
  <c r="L14" i="9" s="1"/>
  <c r="AF26" i="9" s="1"/>
  <c r="K10" i="9"/>
  <c r="K13" i="9" s="1"/>
  <c r="L10" i="9" s="1"/>
  <c r="AF7" i="9" s="1"/>
  <c r="K9" i="9"/>
  <c r="L8" i="9" s="1"/>
  <c r="AF6" i="9" s="1"/>
  <c r="K7" i="9"/>
  <c r="L4" i="9" s="1"/>
  <c r="AF5" i="9" s="1"/>
  <c r="B40" i="9"/>
  <c r="D39" i="9"/>
  <c r="E36" i="9" s="1"/>
  <c r="AE33" i="9" s="1"/>
  <c r="D35" i="9"/>
  <c r="E34" i="9" s="1"/>
  <c r="AE14" i="9" s="1"/>
  <c r="D33" i="9"/>
  <c r="E30" i="9" s="1"/>
  <c r="AE31" i="9" s="1"/>
  <c r="E25" i="9"/>
  <c r="AE30" i="9" s="1"/>
  <c r="D24" i="9"/>
  <c r="E21" i="9" s="1"/>
  <c r="AE11" i="9" s="1"/>
  <c r="D20" i="9"/>
  <c r="E18" i="9" s="1"/>
  <c r="AE28" i="9" s="1"/>
  <c r="D14" i="9"/>
  <c r="D17" i="9" s="1"/>
  <c r="E14" i="9" s="1"/>
  <c r="AE8" i="9" s="1"/>
  <c r="D10" i="9"/>
  <c r="D13" i="9" s="1"/>
  <c r="E10" i="9" s="1"/>
  <c r="AE7" i="9" s="1"/>
  <c r="D9" i="9"/>
  <c r="E8" i="9" s="1"/>
  <c r="AE24" i="9" s="1"/>
  <c r="D7" i="9"/>
  <c r="E4" i="9" s="1"/>
  <c r="AE5" i="9" s="1"/>
  <c r="AG26" i="9" l="1"/>
  <c r="AG8" i="9"/>
  <c r="AH26" i="9"/>
  <c r="AE25" i="9"/>
  <c r="AG9" i="9"/>
  <c r="AI9" i="9" s="1"/>
  <c r="AG13" i="9"/>
  <c r="AF8" i="9"/>
  <c r="AI8" i="9" s="1"/>
  <c r="AF23" i="9"/>
  <c r="AF31" i="9"/>
  <c r="AI31" i="9" s="1"/>
  <c r="AG5" i="9"/>
  <c r="I12" i="7"/>
  <c r="L12" i="7" s="1"/>
  <c r="AH15" i="9"/>
  <c r="AH25" i="9"/>
  <c r="AF28" i="9"/>
  <c r="AI28" i="9" s="1"/>
  <c r="AF10" i="9"/>
  <c r="AE6" i="9"/>
  <c r="AH10" i="9"/>
  <c r="AE29" i="9"/>
  <c r="AI29" i="9" s="1"/>
  <c r="AE12" i="9"/>
  <c r="AG6" i="9"/>
  <c r="AG10" i="9"/>
  <c r="AE26" i="9"/>
  <c r="AF24" i="9"/>
  <c r="AI24" i="9" s="1"/>
  <c r="AG33" i="9"/>
  <c r="AI33" i="9" s="1"/>
  <c r="AH30" i="9"/>
  <c r="AI30" i="9" s="1"/>
  <c r="AE23" i="9"/>
  <c r="AH6" i="9"/>
  <c r="AE13" i="9"/>
  <c r="AF11" i="9"/>
  <c r="AI11" i="9" s="1"/>
  <c r="AF15" i="9"/>
  <c r="AG7" i="9"/>
  <c r="AI7" i="9" s="1"/>
  <c r="AF25" i="9"/>
  <c r="AH27" i="9"/>
  <c r="AI27" i="9" s="1"/>
  <c r="AE15" i="9"/>
  <c r="AE10" i="9"/>
  <c r="AF12" i="9"/>
  <c r="AG12" i="9"/>
  <c r="AH13" i="9"/>
  <c r="Z29" i="9"/>
  <c r="AH14" i="9" s="1"/>
  <c r="AI14" i="9" s="1"/>
  <c r="R16" i="6"/>
  <c r="R19" i="6" s="1"/>
  <c r="O7" i="8"/>
  <c r="D10" i="8"/>
  <c r="R38" i="9"/>
  <c r="S38" i="9"/>
  <c r="L39" i="9"/>
  <c r="K39" i="9"/>
  <c r="D40" i="9"/>
  <c r="E40" i="9"/>
  <c r="AI26" i="9" l="1"/>
  <c r="O10" i="8"/>
  <c r="AI12" i="9"/>
  <c r="AI15" i="9"/>
  <c r="AG34" i="9"/>
  <c r="AG35" i="9" s="1"/>
  <c r="AI6" i="9"/>
  <c r="AI25" i="9"/>
  <c r="I14" i="7"/>
  <c r="AI13" i="9"/>
  <c r="AE16" i="9"/>
  <c r="AE17" i="9" s="1"/>
  <c r="AF16" i="9"/>
  <c r="AF17" i="9" s="1"/>
  <c r="AI10" i="9"/>
  <c r="AG16" i="9"/>
  <c r="AG17" i="9" s="1"/>
  <c r="AF34" i="9"/>
  <c r="AF35" i="9" s="1"/>
  <c r="AE34" i="9"/>
  <c r="AE35" i="9" s="1"/>
  <c r="L14" i="7" l="1"/>
  <c r="M14" i="7" s="1"/>
  <c r="R33" i="6"/>
  <c r="R5" i="6"/>
  <c r="R6" i="6"/>
  <c r="R7" i="6"/>
  <c r="R8" i="6"/>
  <c r="R9" i="6"/>
  <c r="R10" i="6"/>
  <c r="R11" i="6"/>
  <c r="R12" i="6"/>
  <c r="R13" i="6"/>
  <c r="R31" i="6"/>
  <c r="R136" i="6"/>
  <c r="R18" i="6"/>
  <c r="R17" i="6"/>
  <c r="G3" i="6"/>
  <c r="F3" i="6"/>
  <c r="G21" i="6"/>
  <c r="H21" i="6"/>
  <c r="I21" i="6"/>
  <c r="J21" i="6"/>
  <c r="K21" i="6"/>
  <c r="L21" i="6"/>
  <c r="M21" i="6"/>
  <c r="N21" i="6"/>
  <c r="O21" i="6"/>
  <c r="P21" i="6"/>
  <c r="Q21" i="6"/>
  <c r="F21" i="6"/>
  <c r="R23" i="6"/>
  <c r="R22" i="6"/>
  <c r="R84" i="6" l="1"/>
  <c r="M6" i="7" s="1"/>
  <c r="R120" i="6"/>
  <c r="R127" i="6" s="1"/>
  <c r="M9" i="7" s="1"/>
  <c r="R3" i="6"/>
  <c r="R14" i="6" s="1"/>
  <c r="M12" i="7" s="1"/>
  <c r="R139" i="6"/>
  <c r="R157" i="6" s="1"/>
  <c r="M4" i="7" s="1"/>
  <c r="R21" i="6"/>
  <c r="R24" i="6" l="1"/>
  <c r="I15" i="7" l="1"/>
  <c r="L15" i="7" s="1"/>
  <c r="M15" i="7" s="1"/>
  <c r="M5" i="7" l="1"/>
  <c r="I13" i="7" l="1"/>
  <c r="L13" i="7" l="1"/>
  <c r="I16" i="7"/>
  <c r="M13" i="7"/>
  <c r="L16" i="7"/>
  <c r="AI16" i="9"/>
  <c r="AI5" i="9"/>
  <c r="Y37" i="9"/>
  <c r="AH34" i="9"/>
  <c r="AH35" i="9"/>
  <c r="AH23" i="9"/>
  <c r="AI23" i="9"/>
  <c r="AI34" i="9"/>
  <c r="AI35" i="9"/>
  <c r="L37" i="22"/>
  <c r="L4" i="22"/>
  <c r="K5" i="22"/>
  <c r="K37" i="22"/>
  <c r="AH5" i="9"/>
  <c r="AH16" i="9"/>
  <c r="AH17" i="9"/>
  <c r="Y5" i="9"/>
  <c r="Z4" i="9"/>
  <c r="Z3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Bruna Munhoz da Gama</author>
    <author>tc={222BE793-BA75-4944-A358-1B5E415FEBC5}</author>
  </authors>
  <commentList>
    <comment ref="B3" authorId="0" shapeId="0" xr:uid="{09FA45DE-45DE-4E82-9A27-9B2CB83666C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R$ 328.852,79 - credito contido
R$ 151.502,70 - contingenciado</t>
        </r>
      </text>
    </comment>
    <comment ref="B16" authorId="0" shapeId="0" xr:uid="{7246AFDB-2960-402C-97BF-7953D673C47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R$ 1.197.351,40 - credito contido
R$ 513.150,60 - contingenciado</t>
        </r>
      </text>
    </comment>
    <comment ref="B21" authorId="0" shapeId="0" xr:uid="{22B6CDF6-7896-45FD-BA94-0586931FB58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R$ 10.351,00 - credito contido</t>
        </r>
      </text>
    </comment>
    <comment ref="B25" authorId="0" shapeId="0" xr:uid="{215AD1DA-DB52-4CA6-8EB8-6C248F0C353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R$ 744.372,82 - credito contido</t>
        </r>
      </text>
    </comment>
    <comment ref="F26" authorId="0" shapeId="0" xr:uid="{25F9B428-2EF9-44C5-A859-243920EF77F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2025NE00010</t>
        </r>
      </text>
    </comment>
    <comment ref="G26" authorId="0" shapeId="0" xr:uid="{F1B73395-686A-4EDD-B939-F89F82EEC8FE}">
      <text>
        <r>
          <rPr>
            <b/>
            <sz val="9"/>
            <color indexed="81"/>
            <rFont val="Segoe UI"/>
            <family val="2"/>
          </rPr>
          <t xml:space="preserve">Bruna Munhoz da Gama:
</t>
        </r>
        <r>
          <rPr>
            <sz val="9"/>
            <color indexed="81"/>
            <rFont val="Segoe UI"/>
            <family val="2"/>
          </rPr>
          <t>2025NE00063</t>
        </r>
      </text>
    </comment>
    <comment ref="H26" authorId="0" shapeId="0" xr:uid="{20DF0288-CA27-44DA-A8E5-943F70FD0B6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2025NE00137
2025NE00166</t>
        </r>
      </text>
    </comment>
    <comment ref="I26" authorId="0" shapeId="0" xr:uid="{EABD0415-9986-46BA-A94C-D35BF50C0A4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2025NE00205</t>
        </r>
      </text>
    </comment>
    <comment ref="J26" authorId="0" shapeId="0" xr:uid="{019730DF-5DD1-4A29-8A59-A814A9F4063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2025NE00311</t>
        </r>
      </text>
    </comment>
    <comment ref="L26" authorId="0" shapeId="0" xr:uid="{58F2C1C1-DDC1-4C06-92E9-B38E22FFE4F5}">
      <text>
        <r>
          <rPr>
            <b/>
            <sz val="11"/>
            <color indexed="81"/>
            <rFont val="Segoe UI"/>
            <family val="2"/>
          </rPr>
          <t>Bruna Munhoz da Gama:</t>
        </r>
        <r>
          <rPr>
            <sz val="11"/>
            <color indexed="81"/>
            <rFont val="Segoe UI"/>
            <family val="2"/>
          </rPr>
          <t xml:space="preserve">
Renovação do contrato</t>
        </r>
      </text>
    </comment>
    <comment ref="J27" authorId="0" shapeId="0" xr:uid="{BAB69CBD-994B-4550-B019-BFD1D00F1AF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2025NE00280</t>
        </r>
      </text>
    </comment>
    <comment ref="F28" authorId="0" shapeId="0" xr:uid="{FD9FE377-8EFB-4C32-B7F0-21B1A3099F8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2025NE00008</t>
        </r>
      </text>
    </comment>
    <comment ref="G28" authorId="0" shapeId="0" xr:uid="{E8873F27-D2E0-43F3-B0A4-B8283326F8E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2025NE00057</t>
        </r>
      </text>
    </comment>
    <comment ref="H28" authorId="0" shapeId="0" xr:uid="{3EB004AF-6AD6-4AF0-BFB8-57222ABA3B6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2025NE00134</t>
        </r>
      </text>
    </comment>
    <comment ref="I28" authorId="0" shapeId="0" xr:uid="{3357FF42-0FD5-4C8F-8299-05D7106233A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2025NE00251 </t>
        </r>
      </text>
    </comment>
    <comment ref="J28" authorId="0" shapeId="0" xr:uid="{FC8DF701-4A6A-4440-81E3-6CBE4C4528D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2025NE00322</t>
        </r>
      </text>
    </comment>
    <comment ref="F29" authorId="0" shapeId="0" xr:uid="{9A4E1AC6-6D43-4A77-842B-1E4E778AFF4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2025NE00005</t>
        </r>
      </text>
    </comment>
    <comment ref="G29" authorId="0" shapeId="0" xr:uid="{DC3A92F8-767C-4DF8-BD6B-2792C0A48BB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2025NE00093</t>
        </r>
      </text>
    </comment>
    <comment ref="H29" authorId="0" shapeId="0" xr:uid="{26E2B6ED-107A-4CAE-951C-FB4AA212221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2025NE00133</t>
        </r>
      </text>
    </comment>
    <comment ref="I29" authorId="0" shapeId="0" xr:uid="{C73B27EE-8F4E-4102-8C32-796F7B7E6A4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2025NE00205
</t>
        </r>
      </text>
    </comment>
    <comment ref="J29" authorId="0" shapeId="0" xr:uid="{7DD61D8A-AA46-4D01-8F4C-B5462A69556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2025NE00306</t>
        </r>
      </text>
    </comment>
    <comment ref="F30" authorId="0" shapeId="0" xr:uid="{E12089C1-C167-45CD-B357-4B20A993B31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2025NE00019</t>
        </r>
      </text>
    </comment>
    <comment ref="G30" authorId="0" shapeId="0" xr:uid="{A8703AB2-CC51-4518-80FE-5C986204356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2025NE00073</t>
        </r>
      </text>
    </comment>
    <comment ref="H30" authorId="0" shapeId="0" xr:uid="{592A7A0C-2365-41A0-B63D-EDD500B9D3D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2025NE00130</t>
        </r>
      </text>
    </comment>
    <comment ref="I30" authorId="0" shapeId="0" xr:uid="{F977CE58-24A3-4945-BA20-BE38A1A5CE1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2025NE00206</t>
        </r>
      </text>
    </comment>
    <comment ref="J30" authorId="0" shapeId="0" xr:uid="{E217E338-F0C6-4D0A-A153-B7F5B95FBF3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2025NE00293</t>
        </r>
      </text>
    </comment>
    <comment ref="B33" authorId="0" shapeId="0" xr:uid="{9FA4DF0A-3942-41F2-8F6E-65B255DE297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R$ 20.567.792,37 - credito contido</t>
        </r>
      </text>
    </comment>
    <comment ref="G34" authorId="0" shapeId="0" xr:uid="{D396C026-C5F3-4BC3-8054-0158FE509EB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2025DC00002</t>
        </r>
      </text>
    </comment>
    <comment ref="F35" authorId="0" shapeId="0" xr:uid="{0B8974F5-081F-4683-8A31-338CF42A8CE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2025NE00038</t>
        </r>
      </text>
    </comment>
    <comment ref="I36" authorId="0" shapeId="0" xr:uid="{FBC2D8A7-9B3B-4BC0-977C-DA2EF01EA7E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2025NE00216</t>
        </r>
      </text>
    </comment>
    <comment ref="I37" authorId="0" shapeId="0" xr:uid="{EF8D3FC0-98CC-4CD5-8B68-983EAB593B84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2025NE00218</t>
        </r>
      </text>
    </comment>
    <comment ref="F39" authorId="0" shapeId="0" xr:uid="{DC5B49CA-9E43-4E39-829F-764E6169552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2025DC00001
</t>
        </r>
      </text>
    </comment>
    <comment ref="G39" authorId="0" shapeId="0" xr:uid="{563A65F5-3FE3-41A3-8EC0-ADDF206DA67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2025DC00001</t>
        </r>
      </text>
    </comment>
    <comment ref="H39" authorId="0" shapeId="0" xr:uid="{B3191E15-1E92-4C9B-AFCC-762B24F5545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2025DC00006</t>
        </r>
      </text>
    </comment>
    <comment ref="I39" authorId="0" shapeId="0" xr:uid="{4893BE77-9ECC-448E-9149-0F640F95B8B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2025DC00006</t>
        </r>
      </text>
    </comment>
    <comment ref="J39" authorId="0" shapeId="0" xr:uid="{F928462C-53F9-4865-B695-9B20F7AA3B2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2025DC00007</t>
        </r>
      </text>
    </comment>
    <comment ref="A40" authorId="0" shapeId="0" xr:uid="{1286F5B7-7E24-4FA2-95EC-C4387E3E4BA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PRODERJ</t>
        </r>
      </text>
    </comment>
    <comment ref="H40" authorId="0" shapeId="0" xr:uid="{2CD1F10A-3619-495D-8D73-A20C68EDBDD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R$ 1.131,62 - reajuste 2024
2025DC00003
2025DC00004</t>
        </r>
      </text>
    </comment>
    <comment ref="I40" authorId="0" shapeId="0" xr:uid="{4A0D0E09-B660-4F28-ACC3-325B087A5FB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2025DC00005</t>
        </r>
      </text>
    </comment>
    <comment ref="J40" authorId="0" shapeId="0" xr:uid="{5DD05E2E-DF1C-4877-9CC0-B3F36105006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2025DC00008</t>
        </r>
      </text>
    </comment>
    <comment ref="G41" authorId="0" shapeId="0" xr:uid="{2A06E576-BC1A-4E2B-BF29-F17B9F0E33B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2025NE00087</t>
        </r>
      </text>
    </comment>
    <comment ref="G43" authorId="0" shapeId="0" xr:uid="{8C0DDEA3-1996-438D-AF37-F7D9443B0C5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SEI-120001/000088/2025 
SEI-120001/000334/2025
SEI-120001/000330/2025
SEI-120001/000335/2025
SEI-120001/000352/2025
SEI-120001/000338/2025
SEI-120001/000461/2025
2025NE00055
2025NE00062
2025NE00075
2025NE00078
2025NE00079
2025NE00086
2025NE00111</t>
        </r>
      </text>
    </comment>
    <comment ref="H43" authorId="0" shapeId="0" xr:uid="{6190BD73-5760-4DD0-8453-D1EAAF3F2BF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SEI-120001/000332/2025
SEI-120001/000538/2025
SEI-120001/000561/2025
SEI-120001/000540/2025
SEI-120001/000554/2025
2025NE00122
2025NE00164
2025NE00171
2025NE00172</t>
        </r>
      </text>
    </comment>
    <comment ref="I43" authorId="0" shapeId="0" xr:uid="{73369935-72D9-4753-9769-B153D3C9721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SEI-120001/000736/2025
SEI-120001/000619/2025
SEI-120001/000852/2025
SEI-120001/000687/2025
SEI-120001/001027/2025
SEI-120001/001034/2025
SEI-120001/000980/2025
SEI-120001/001045/2025
2025NE00190
2025NE00191
2025NE00208
2025NE00235
2025NE00255
2025NE00256
2025NE00259
2025NE00276</t>
        </r>
      </text>
    </comment>
    <comment ref="J43" authorId="0" shapeId="0" xr:uid="{08EC5A5A-928C-4443-9C4C-0E585FD7639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0"/>
            <color indexed="81"/>
            <rFont val="Segoe UI"/>
            <family val="2"/>
          </rPr>
          <t xml:space="preserve">SEI-120001/001063/2025
SEI-120001/001062/2025
SEI-120001/001098/2025
SEI-120001/000979/2025
SEI-120001/001079/2025
SEI-120001/001075/2025
SEI-120001/001084/2025
SEI-120001/001021/2025
SEI-120001/001146/2025
SEI-120001/001071/2025
SEI-120001/001109/2025
SEI-120001/001176/2025
SEI-120001/001110/2025
SEI-120001/001126/2025
SEI-120001/001249/2025
SEI-120001/001267/2025
SEI-120001/001277/2025
SEI-120001/001248/2025
SEI-120001/001278/2025
SEI-120001/001192/2025
SEI-120001/001111/2025
SEI-120001/001270/2025
2025NE00281
2025NE00282
2025NE00283
2025NE00284
2025NE00286
2025NE00288
2025NE00289
2025NE00290
2025NE00296
2025NE00297
2025NE00298
2025NE00299
2025NE00300
2025NE00301
</t>
        </r>
      </text>
    </comment>
    <comment ref="F44" authorId="0" shapeId="0" xr:uid="{5A19AC4B-4C5E-464E-8900-7ED41F074F2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2025NE00027</t>
        </r>
      </text>
    </comment>
    <comment ref="G44" authorId="0" shapeId="0" xr:uid="{CA34FF7B-7AEB-4421-A6AC-0C7BC8695FD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2025NE00074</t>
        </r>
      </text>
    </comment>
    <comment ref="H44" authorId="0" shapeId="0" xr:uid="{19A84B79-A811-4E4A-AE40-327416AA558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2025NE00159</t>
        </r>
      </text>
    </comment>
    <comment ref="I44" authorId="0" shapeId="0" xr:uid="{825F60EF-F3CE-4015-9988-612BD34C14A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2025NE00198
2025NE00326 - complemento</t>
        </r>
      </text>
    </comment>
    <comment ref="J44" authorId="0" shapeId="0" xr:uid="{E9D4838B-92A4-4496-A297-88CEA83BCBA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2025NE00326</t>
        </r>
      </text>
    </comment>
    <comment ref="F46" authorId="0" shapeId="0" xr:uid="{978D1C71-57CF-4968-9218-083858D05B5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2025NE00023</t>
        </r>
      </text>
    </comment>
    <comment ref="G46" authorId="0" shapeId="0" xr:uid="{770046EB-48C3-4260-93FD-8473599C961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2025NE00067</t>
        </r>
      </text>
    </comment>
    <comment ref="I46" authorId="0" shapeId="0" xr:uid="{720EC8DF-54B2-4592-AB48-BF497A14C5F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2025NE00231</t>
        </r>
      </text>
    </comment>
    <comment ref="F47" authorId="0" shapeId="0" xr:uid="{719BC528-E7EB-49D1-9343-D6EAA86001D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 2025NE00022</t>
        </r>
      </text>
    </comment>
    <comment ref="G47" authorId="0" shapeId="0" xr:uid="{92F82862-307B-4E19-AF7A-B84F2C6F7E3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2025NE00090</t>
        </r>
      </text>
    </comment>
    <comment ref="H47" authorId="0" shapeId="0" xr:uid="{063C1079-2976-4CA8-B903-035286DB7E0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2025NE00147</t>
        </r>
      </text>
    </comment>
    <comment ref="I47" authorId="0" shapeId="0" xr:uid="{5A3A6B2E-A5A0-4D4E-9A9A-0AEF7D61657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2025NE00230</t>
        </r>
      </text>
    </comment>
    <comment ref="J47" authorId="0" shapeId="0" xr:uid="{AB726028-7CB6-4A6F-9088-C98776FA79C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2025NE00309</t>
        </r>
      </text>
    </comment>
    <comment ref="F48" authorId="0" shapeId="0" xr:uid="{357C59DB-5B97-4E67-A4FF-755311304D9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2025NE00021</t>
        </r>
      </text>
    </comment>
    <comment ref="G48" authorId="0" shapeId="0" xr:uid="{4642C3B2-A061-4FD4-A8C8-FA6B6D9115A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2025NE00102</t>
        </r>
      </text>
    </comment>
    <comment ref="H48" authorId="0" shapeId="0" xr:uid="{59C6E999-CAB1-4E35-B57C-ED9BA029728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2025NE00140</t>
        </r>
      </text>
    </comment>
    <comment ref="J48" authorId="0" shapeId="0" xr:uid="{1E3FB031-5191-4F97-A9A0-DFCEB671666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2025NE00336</t>
        </r>
      </text>
    </comment>
    <comment ref="F49" authorId="0" shapeId="0" xr:uid="{B7D12416-5A58-4766-A621-827AB171C39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2025NE00026</t>
        </r>
      </text>
    </comment>
    <comment ref="G49" authorId="0" shapeId="0" xr:uid="{7D4A0457-B50A-4D85-99E0-87A734CC9AD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2025NE00098</t>
        </r>
      </text>
    </comment>
    <comment ref="H49" authorId="0" shapeId="0" xr:uid="{FFDEC562-87B5-4980-9B97-DE96AAC26A4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2025NE00194</t>
        </r>
      </text>
    </comment>
    <comment ref="I49" authorId="0" shapeId="0" xr:uid="{C4B95E04-9731-4775-A966-05F25DFC113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2025NE00261 </t>
        </r>
      </text>
    </comment>
    <comment ref="J49" authorId="0" shapeId="0" xr:uid="{AB0DDA62-3581-4CFA-948A-FE0132C8B3B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2025NE00332</t>
        </r>
      </text>
    </comment>
    <comment ref="M49" authorId="0" shapeId="0" xr:uid="{9EA6E04D-C9CC-42EA-A051-0D203C00D9D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DO CONTRATO??</t>
        </r>
      </text>
    </comment>
    <comment ref="F50" authorId="0" shapeId="0" xr:uid="{5BA2B8B5-849C-400F-A785-D50ED084892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2025NE00020</t>
        </r>
      </text>
    </comment>
    <comment ref="G50" authorId="0" shapeId="0" xr:uid="{5AD67CA3-2C01-43A4-98BE-0292F1339CB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2025NE00065</t>
        </r>
      </text>
    </comment>
    <comment ref="H50" authorId="0" shapeId="0" xr:uid="{F3729CAA-60C3-4B84-9E28-C7A09C1AC33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2025NE00139</t>
        </r>
      </text>
    </comment>
    <comment ref="I50" authorId="0" shapeId="0" xr:uid="{F98D26A6-7819-4C8B-A513-415F91DCB2D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2025NE00202</t>
        </r>
      </text>
    </comment>
    <comment ref="J50" authorId="0" shapeId="0" xr:uid="{8C52FF3D-5EBB-4867-B954-AF749B0D805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2025NE00318</t>
        </r>
      </text>
    </comment>
    <comment ref="F51" authorId="0" shapeId="0" xr:uid="{C6513254-F3E1-4991-9D38-D378E2DADC9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2025NE00007</t>
        </r>
      </text>
    </comment>
    <comment ref="G51" authorId="0" shapeId="0" xr:uid="{479812D4-C68F-45CD-8D46-571C68FF843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2025NE00072</t>
        </r>
      </text>
    </comment>
    <comment ref="H51" authorId="0" shapeId="0" xr:uid="{9CAF58A3-17EB-45EF-BC1D-A16958AFA64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2025NE00143</t>
        </r>
      </text>
    </comment>
    <comment ref="I51" authorId="0" shapeId="0" xr:uid="{A51982B0-CA8D-4D4C-B128-8009BAF6911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2025NE00234</t>
        </r>
      </text>
    </comment>
    <comment ref="J51" authorId="0" shapeId="0" xr:uid="{F5E082AF-8A37-4A6B-98FD-346BE0C4FC4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2025NE00321</t>
        </r>
      </text>
    </comment>
    <comment ref="F52" authorId="0" shapeId="0" xr:uid="{CFBF0737-AB61-4DD3-A42E-44B881EF614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2025NE00003</t>
        </r>
      </text>
    </comment>
    <comment ref="G52" authorId="0" shapeId="0" xr:uid="{F6BE07DD-5700-4DE6-A2A6-108C9F8B7C7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2025NE00186</t>
        </r>
      </text>
    </comment>
    <comment ref="H52" authorId="0" shapeId="0" xr:uid="{E8169257-C05D-48C1-BF6A-FCD8BB2AC65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2025NE00186</t>
        </r>
      </text>
    </comment>
    <comment ref="I52" authorId="0" shapeId="0" xr:uid="{8B11F5BD-1C9B-4F26-BBFD-1C88203B0B6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2025NE00221</t>
        </r>
      </text>
    </comment>
    <comment ref="J52" authorId="0" shapeId="0" xr:uid="{2A05B158-64E4-4B0E-BDE6-6598283E1E2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52" authorId="0" shapeId="0" xr:uid="{B5B90883-B43D-480A-A83F-2636D5A20EB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R$ 50.679,50 - Convenção Coletiva de Trabalho 2024/2025</t>
        </r>
      </text>
    </comment>
    <comment ref="L52" authorId="0" shapeId="0" xr:uid="{C6BD1F1E-D5EA-4105-BF34-67E4890D732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DO CONTRATO??</t>
        </r>
      </text>
    </comment>
    <comment ref="F53" authorId="0" shapeId="0" xr:uid="{6F8AE1B4-F24D-4E62-A39D-2A791FD1476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2025NE00012</t>
        </r>
      </text>
    </comment>
    <comment ref="G53" authorId="0" shapeId="0" xr:uid="{27D8D3D2-B860-4389-803C-BBBF049CE45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2025NE00066</t>
        </r>
      </text>
    </comment>
    <comment ref="H53" authorId="0" shapeId="0" xr:uid="{83C32E52-D692-4B34-90E7-F94171519CE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2025NE00141</t>
        </r>
      </text>
    </comment>
    <comment ref="I53" authorId="0" shapeId="0" xr:uid="{B7044EF2-B951-40F3-ADAB-7ADB39B1F78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2025NE00192</t>
        </r>
      </text>
    </comment>
    <comment ref="N53" authorId="0" shapeId="0" xr:uid="{6CB28AA3-7B06-40E5-AAF7-C52586B3C14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DE CONTRATO??</t>
        </r>
      </text>
    </comment>
    <comment ref="F54" authorId="0" shapeId="0" xr:uid="{BCA810EE-49A9-47A1-9174-584D85D78C5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2025NE00001</t>
        </r>
      </text>
    </comment>
    <comment ref="G54" authorId="0" shapeId="0" xr:uid="{7A3A0F75-F2B4-4DEC-A2A9-200DC7B6E53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2025NE00091</t>
        </r>
      </text>
    </comment>
    <comment ref="H54" authorId="0" shapeId="0" xr:uid="{76CBAE26-1002-477E-B556-93C48205F0C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2025NE00149</t>
        </r>
      </text>
    </comment>
    <comment ref="I54" authorId="0" shapeId="0" xr:uid="{DFD36951-4EE3-4575-A619-A835B46186A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2025NE00214 </t>
        </r>
      </text>
    </comment>
    <comment ref="J54" authorId="0" shapeId="0" xr:uid="{5412F2C5-40F9-4BDA-97C8-72E0854ECC2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2025NE00325</t>
        </r>
      </text>
    </comment>
    <comment ref="F55" authorId="0" shapeId="0" xr:uid="{038975B1-93D5-4DB6-A4C1-9096B445D44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2025NE00016</t>
        </r>
      </text>
    </comment>
    <comment ref="G55" authorId="0" shapeId="0" xr:uid="{184A0DAF-CD16-40FA-8283-F0E2A79A8A5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2025NE00099</t>
        </r>
      </text>
    </comment>
    <comment ref="H55" authorId="0" shapeId="0" xr:uid="{77871E93-ABF9-411C-90EF-97FB911BCAC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2025NE00136</t>
        </r>
      </text>
    </comment>
    <comment ref="I55" authorId="0" shapeId="0" xr:uid="{E885672E-5A26-4973-9FB1-AD5C8B2DF03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2025NE00263</t>
        </r>
      </text>
    </comment>
    <comment ref="J55" authorId="0" shapeId="0" xr:uid="{1BCA8E1B-D116-48A4-A502-DBDB6C4E535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2025NE00324</t>
        </r>
      </text>
    </comment>
    <comment ref="M55" authorId="0" shapeId="0" xr:uid="{0010C475-420E-4605-BBE2-02B8572FD4E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DO CONTRATO??</t>
        </r>
      </text>
    </comment>
    <comment ref="F56" authorId="0" shapeId="0" xr:uid="{0CE4BD4D-4250-465B-A2CF-1F10028DCBA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2025NE00015</t>
        </r>
      </text>
    </comment>
    <comment ref="G56" authorId="0" shapeId="0" xr:uid="{600D36F2-8C47-42A2-8807-88C3A968A8C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2025NE00094</t>
        </r>
      </text>
    </comment>
    <comment ref="H56" authorId="0" shapeId="0" xr:uid="{4507391C-1124-484C-930F-67EEBD1FE29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2025NE00125</t>
        </r>
      </text>
    </comment>
    <comment ref="I56" authorId="0" shapeId="0" xr:uid="{4D4E3107-CF94-4DD2-922B-597646A823B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2025NE00223</t>
        </r>
      </text>
    </comment>
    <comment ref="J56" authorId="0" shapeId="0" xr:uid="{46E571A2-1D5B-41AC-BA36-49F595FD1F7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2025NE00312</t>
        </r>
      </text>
    </comment>
    <comment ref="N56" authorId="0" shapeId="0" xr:uid="{4409357F-08A7-4ABB-9D8D-0EE96F01321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DE CONTRATO??</t>
        </r>
      </text>
    </comment>
    <comment ref="F57" authorId="0" shapeId="0" xr:uid="{3F2F061F-C7EF-46AC-9DC0-1D9C984CF8C3}">
      <text>
        <r>
          <rPr>
            <b/>
            <sz val="9"/>
            <color indexed="81"/>
            <rFont val="Segoe UI"/>
            <charset val="1"/>
          </rPr>
          <t xml:space="preserve">Bruna Munhoz da Gama:
</t>
        </r>
        <r>
          <rPr>
            <sz val="9"/>
            <color indexed="81"/>
            <rFont val="Segoe UI"/>
            <family val="2"/>
          </rPr>
          <t>2025NE00002</t>
        </r>
      </text>
    </comment>
    <comment ref="G57" authorId="0" shapeId="0" xr:uid="{3A7F037D-91E5-43D5-B03B-C898181933D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2025NE00092</t>
        </r>
      </text>
    </comment>
    <comment ref="H57" authorId="0" shapeId="0" xr:uid="{8F2BC147-513B-424A-9A17-F2FEF9A7426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2025NE00150</t>
        </r>
      </text>
    </comment>
    <comment ref="I57" authorId="0" shapeId="0" xr:uid="{80396F0F-3025-4695-AF1B-F165CDE2F6C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2025NE00203</t>
        </r>
      </text>
    </comment>
    <comment ref="J57" authorId="0" shapeId="0" xr:uid="{3AFBD657-BE6D-4356-9405-CB0C5554416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2025NE00337</t>
        </r>
      </text>
    </comment>
    <comment ref="N57" authorId="0" shapeId="0" xr:uid="{580290DE-6851-45CC-9037-8C44957CCF2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DO CONTRATO??</t>
        </r>
      </text>
    </comment>
    <comment ref="F58" authorId="0" shapeId="0" xr:uid="{5BA62DB4-E943-4718-98AA-BC481039091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2025NE00017</t>
        </r>
      </text>
    </comment>
    <comment ref="G58" authorId="0" shapeId="0" xr:uid="{058FF394-741D-458F-9E6C-C1EA5C086CB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2025NE00100</t>
        </r>
      </text>
    </comment>
    <comment ref="H58" authorId="0" shapeId="0" xr:uid="{9CBB6695-41F8-498A-A506-DDDE780110D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2025NE00131</t>
        </r>
      </text>
    </comment>
    <comment ref="I58" authorId="0" shapeId="0" xr:uid="{E9F7136F-D3D3-463E-913D-C953DD85899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2025NE00219</t>
        </r>
      </text>
    </comment>
    <comment ref="J58" authorId="0" shapeId="0" xr:uid="{31E0AC59-9301-48C0-B21A-FB451010508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2025NE00310</t>
        </r>
      </text>
    </comment>
    <comment ref="L58" authorId="0" shapeId="0" xr:uid="{20A45132-8CEF-4CE7-8D2A-CAA2887C323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DO CONTRATO??</t>
        </r>
      </text>
    </comment>
    <comment ref="F59" authorId="0" shapeId="0" xr:uid="{2B9259D4-A10B-494C-AE92-B31D7AC9915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2025NE00036</t>
        </r>
      </text>
    </comment>
    <comment ref="G59" authorId="0" shapeId="0" xr:uid="{16FB67C6-C733-4560-B111-3ADE5F60C50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2025NE00070</t>
        </r>
      </text>
    </comment>
    <comment ref="H59" authorId="0" shapeId="0" xr:uid="{B424CDD1-A264-456F-9F23-844FC9BF405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2025NE00158</t>
        </r>
      </text>
    </comment>
    <comment ref="I59" authorId="0" shapeId="0" xr:uid="{7CE06E17-FD7F-47E3-BB03-CEAE0023FF9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2025NE00195</t>
        </r>
      </text>
    </comment>
    <comment ref="J59" authorId="0" shapeId="0" xr:uid="{B9BE9CB5-DAB5-463A-ACC7-4570E81FD36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2025NE00319</t>
        </r>
      </text>
    </comment>
    <comment ref="F60" authorId="0" shapeId="0" xr:uid="{63149AFF-8A87-4E85-B93B-56DB329B9A0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2025NE00004</t>
        </r>
      </text>
    </comment>
    <comment ref="G60" authorId="0" shapeId="0" xr:uid="{5F83475F-59D1-4468-AC16-8689BAEEAE8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2025NE00068</t>
        </r>
      </text>
    </comment>
    <comment ref="H60" authorId="0" shapeId="0" xr:uid="{A32F0FC6-0E11-4719-8092-AEDD4D5A19F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2025NE00118</t>
        </r>
      </text>
    </comment>
    <comment ref="I60" authorId="0" shapeId="0" xr:uid="{3E028000-CEBC-408A-A41F-D126D3B3E4A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2025NE00193</t>
        </r>
      </text>
    </comment>
    <comment ref="J60" authorId="0" shapeId="0" xr:uid="{41C819C4-F44B-4976-85AE-9F41FCA0748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2025NE00294</t>
        </r>
      </text>
    </comment>
    <comment ref="K60" authorId="0" shapeId="0" xr:uid="{594D6933-8840-43C9-97E1-22390F3D660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0"/>
            <color indexed="81"/>
            <rFont val="Segoe UI"/>
            <family val="2"/>
          </rPr>
          <t>R$ 61.800,00 - pró- rata do 2º TA</t>
        </r>
      </text>
    </comment>
    <comment ref="F61" authorId="0" shapeId="0" xr:uid="{B39D4E25-28A4-46D9-8740-6921CD58833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2025NE00009</t>
        </r>
      </text>
    </comment>
    <comment ref="G61" authorId="0" shapeId="0" xr:uid="{9C7EDCCB-E2D9-4748-B9DE-3B10387CA64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2025NE00097</t>
        </r>
      </text>
    </comment>
    <comment ref="H61" authorId="0" shapeId="0" xr:uid="{FCA7A5D8-5F6C-4D86-85F9-AF3B5BFE436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2025NE00146</t>
        </r>
      </text>
    </comment>
    <comment ref="I61" authorId="0" shapeId="0" xr:uid="{F23B3782-F30C-4851-BA73-98A625F0CC0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2025NE00262</t>
        </r>
      </text>
    </comment>
    <comment ref="J61" authorId="0" shapeId="0" xr:uid="{24318BE9-1E00-4A58-AE26-E0D05D1F675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2025NE00304</t>
        </r>
      </text>
    </comment>
    <comment ref="M61" authorId="0" shapeId="0" xr:uid="{C807A2AD-ED4C-48DA-89F8-1AC69AEE9BC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DO CONTRATO??</t>
        </r>
      </text>
    </comment>
    <comment ref="F62" authorId="0" shapeId="0" xr:uid="{0804B593-BAEF-42E3-ABEA-1B5AB489279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 2025NE00024</t>
        </r>
      </text>
    </comment>
    <comment ref="G62" authorId="0" shapeId="0" xr:uid="{5E763DAA-131E-4661-8DD5-C762F3D1C6C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2025NE00096</t>
        </r>
      </text>
    </comment>
    <comment ref="H62" authorId="0" shapeId="0" xr:uid="{5CA0EAB2-3226-4398-BB2C-5859B594D73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2025NE00145</t>
        </r>
      </text>
    </comment>
    <comment ref="I62" authorId="0" shapeId="0" xr:uid="{DFE4DBC0-3BB2-4557-B81C-8F5D395BD28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2025NE00197</t>
        </r>
      </text>
    </comment>
    <comment ref="J62" authorId="0" shapeId="0" xr:uid="{2C59B22B-47DD-41BD-A1D4-844CF35AF9A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2025NE00323</t>
        </r>
      </text>
    </comment>
    <comment ref="N62" authorId="0" shapeId="0" xr:uid="{0684E9B6-D9F8-4758-B8FB-A88E19CB10B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DE CONTRATO??
</t>
        </r>
      </text>
    </comment>
    <comment ref="F63" authorId="0" shapeId="0" xr:uid="{1215A6D6-AE21-42F9-ACF4-D232F55EDD6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2025NE00025</t>
        </r>
      </text>
    </comment>
    <comment ref="G63" authorId="0" shapeId="0" xr:uid="{E8B7559F-E5EC-4C9A-B233-E5B4DE5DFD2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2025NE00095</t>
        </r>
      </text>
    </comment>
    <comment ref="H63" authorId="0" shapeId="0" xr:uid="{F2A3619E-E7EC-4EFB-86A6-D404D219F36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2025NE00144</t>
        </r>
      </text>
    </comment>
    <comment ref="I63" authorId="0" shapeId="0" xr:uid="{AFCA7E1E-E1A6-4908-A051-86B1951E9F6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2025NE00196</t>
        </r>
      </text>
    </comment>
    <comment ref="F64" authorId="0" shapeId="0" xr:uid="{DF832F8F-2F81-4ACC-A19D-AB058F872F5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2025NE00028</t>
        </r>
      </text>
    </comment>
    <comment ref="F65" authorId="0" shapeId="0" xr:uid="{F68C6DCB-95F8-47F1-B970-23DE598400A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2025NE00011</t>
        </r>
      </text>
    </comment>
    <comment ref="G65" authorId="0" shapeId="0" xr:uid="{EEA8AFB6-4809-42E9-8EB7-657AE161E85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2025NE00058</t>
        </r>
      </text>
    </comment>
    <comment ref="H65" authorId="0" shapeId="0" xr:uid="{82DC610B-86F6-4496-94DE-5C0250D6B62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2025NE00132</t>
        </r>
      </text>
    </comment>
    <comment ref="I65" authorId="0" shapeId="0" xr:uid="{FD75A902-7D86-4AB0-B82C-6C6302DC39D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2025NE00199</t>
        </r>
      </text>
    </comment>
    <comment ref="J65" authorId="0" shapeId="0" xr:uid="{C8ED5F07-C9E7-486C-BA9A-A3D06AAC5C6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2025NE00305</t>
        </r>
      </text>
    </comment>
    <comment ref="G67" authorId="0" shapeId="0" xr:uid="{14CA456F-4E90-4232-A267-9F813A8A5AA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SEI-120001/000431/2025
SEI-120001/000434/2025
SEI-120001/000349/2025
SEI-120002/000027/2025
SEI-120001/000178/2025 
SEI-120001/000103/2025
2025NE00064
2025NE00069
2025NE00101
2025NE00109
2025NE00110
2025NE00113
2025NE00041
2025NE00042
2025NE00043
2025NE00044
</t>
        </r>
      </text>
    </comment>
    <comment ref="I67" authorId="0" shapeId="0" xr:uid="{9047DB33-84A2-44D3-A41C-BD9098E3808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SEI-120001/000870/2025
SEI-120001/001083/2025
2025NE00236
2025NE00237
2025NE00278
2025NE00279</t>
        </r>
      </text>
    </comment>
    <comment ref="A68" authorId="0" shapeId="0" xr:uid="{9DA062E0-6147-493C-B1B1-84E6E8E63F1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CLARO S/A</t>
        </r>
      </text>
    </comment>
    <comment ref="G68" authorId="0" shapeId="0" xr:uid="{5506746D-F9E4-4A8E-9ADC-01DC321E8ED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2025NE00060</t>
        </r>
      </text>
    </comment>
    <comment ref="A69" authorId="0" shapeId="0" xr:uid="{CBFFD298-99EB-4FD1-B902-4EC793A70BBE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CLARO S/A
</t>
        </r>
      </text>
    </comment>
    <comment ref="G69" authorId="0" shapeId="0" xr:uid="{1E5F2789-E18A-48EA-88D3-4BAFFB15B51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2025NE00059</t>
        </r>
      </text>
    </comment>
    <comment ref="A70" authorId="0" shapeId="0" xr:uid="{75A78C12-F041-4370-B366-1BBEC502F7A5}">
      <text>
        <r>
          <rPr>
            <b/>
            <sz val="12"/>
            <color indexed="81"/>
            <rFont val="Segoe UI"/>
            <family val="2"/>
          </rPr>
          <t>Bruna Munhoz da Gama:</t>
        </r>
        <r>
          <rPr>
            <sz val="12"/>
            <color indexed="81"/>
            <rFont val="Segoe UI"/>
            <family val="2"/>
          </rPr>
          <t xml:space="preserve">
TECNO TEMP
Aquisição e serviço de instalação</t>
        </r>
      </text>
    </comment>
    <comment ref="G70" authorId="0" shapeId="0" xr:uid="{B4FB84B2-F014-471B-B482-98759EAB703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2025NE00089
</t>
        </r>
      </text>
    </comment>
    <comment ref="H70" authorId="0" shapeId="0" xr:uid="{26686EA7-A12F-42E4-A80A-2E9FE79C690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2025NE00148</t>
        </r>
      </text>
    </comment>
    <comment ref="H73" authorId="0" shapeId="0" xr:uid="{CC17CF62-9092-4E4D-BD30-34DBFD7CC09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2025NE00138</t>
        </r>
      </text>
    </comment>
    <comment ref="J74" authorId="0" shapeId="0" xr:uid="{16C51662-C597-4FAE-B77C-07527CEF987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2025NE00292</t>
        </r>
      </text>
    </comment>
    <comment ref="I75" authorId="0" shapeId="0" xr:uid="{9003F0DF-A3BA-4641-ACDC-001FAD63E2E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2025NE00244</t>
        </r>
      </text>
    </comment>
    <comment ref="I76" authorId="0" shapeId="0" xr:uid="{E05E1FB7-4CFB-4C14-A9C8-6B7BB9AB6CB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2025NE00242</t>
        </r>
      </text>
    </comment>
    <comment ref="I77" authorId="0" shapeId="0" xr:uid="{EC242A59-8BCB-48ED-9733-449D3798CE2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2025NE00266</t>
        </r>
      </text>
    </comment>
    <comment ref="B86" authorId="0" shapeId="0" xr:uid="{208851EE-9CF8-45AE-A4FB-F055C41913C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R$ 690.923,00 - credito contido</t>
        </r>
      </text>
    </comment>
    <comment ref="A87" authorId="0" shapeId="0" xr:uid="{A30C65BA-BC9B-4287-846D-FDDD86A711E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PRODERJ-CENTRO DE TECNOL.DE INF.COMUN. ERJ</t>
        </r>
      </text>
    </comment>
    <comment ref="F87" authorId="0" shapeId="0" xr:uid="{A6840E6B-B1D1-4BD3-A59F-CE78BD2DADC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2025NE00106</t>
        </r>
      </text>
    </comment>
    <comment ref="A88" authorId="0" shapeId="0" xr:uid="{B08165C6-E401-4A43-905F-5CA25D536E4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PRODERJ-CENTRO DE TECNOL.DE INF.COMUN. ERJ</t>
        </r>
      </text>
    </comment>
    <comment ref="F88" authorId="0" shapeId="0" xr:uid="{1D798BCB-CBCD-4D6F-BCD7-8254EA057AB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2025NE00105</t>
        </r>
      </text>
    </comment>
    <comment ref="A89" authorId="0" shapeId="0" xr:uid="{69D07343-E9F8-4014-B81C-4C23F8DDFC5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PRODERJ-CENTRO DE TECNOL.DE INF.COMUN. ERJ</t>
        </r>
      </text>
    </comment>
    <comment ref="F89" authorId="0" shapeId="0" xr:uid="{5CB1EE4C-215F-4B82-B5E4-F31FC96A34B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2025NE00108</t>
        </r>
      </text>
    </comment>
    <comment ref="A90" authorId="0" shapeId="0" xr:uid="{E70E84CD-9CE3-47C5-865D-90E54D92A8D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PRODERJ-CENTRO DE TECNOL.DE INF.COMUN. ERJ</t>
        </r>
      </text>
    </comment>
    <comment ref="F90" authorId="0" shapeId="0" xr:uid="{5C34F807-C272-452C-BF0D-B8D74A41BB1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2025NE00107
SEI-120001/000441/2025
2025NE00189  - anulação</t>
        </r>
      </text>
    </comment>
    <comment ref="B93" authorId="0" shapeId="0" xr:uid="{1757FFC3-214D-47C3-ACED-5EF59AAB9C4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R$ 12.167.842,91 - credito contido
R$ 7.358.780,22 - credito contingenciado</t>
        </r>
      </text>
    </comment>
    <comment ref="G95" authorId="0" shapeId="0" xr:uid="{FB905E82-D7AF-4D90-9516-D66E557C7AF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SEI-120001/000431/2025
2025NE00114</t>
        </r>
      </text>
    </comment>
    <comment ref="I95" authorId="0" shapeId="0" xr:uid="{66DB2EF3-3824-434C-ADD9-AC6831873F3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SEI-120001/000870/2025
2025NE00238</t>
        </r>
      </text>
    </comment>
    <comment ref="A99" authorId="0" shapeId="0" xr:uid="{D14EE562-0CED-4371-B85F-7260B38D4A3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PRODERJ-CENTRO DE TECNOL.DE INF.COMUN. ERJ</t>
        </r>
      </text>
    </comment>
    <comment ref="G99" authorId="0" shapeId="0" xr:uid="{AE45B72A-06A2-421D-8F67-1FCBEF2476F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2025NE00120</t>
        </r>
      </text>
    </comment>
    <comment ref="H99" authorId="0" shapeId="0" xr:uid="{816146EB-C218-4A86-8EB1-FB39A521A0A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2025NE00120</t>
        </r>
      </text>
    </comment>
    <comment ref="I99" authorId="0" shapeId="0" xr:uid="{418BE1D9-8411-40DF-A757-4B23220F7DA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2025NE00233</t>
        </r>
      </text>
    </comment>
    <comment ref="J99" authorId="0" shapeId="0" xr:uid="{AFD6786E-3929-43CC-B8F8-DBDC85528C7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2025NE00328</t>
        </r>
      </text>
    </comment>
    <comment ref="M99" authorId="0" shapeId="0" xr:uid="{7F1CDE64-FE59-4397-AE4F-FEB5CB0210EB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RENOVAÇÃO DE CONTRATO</t>
        </r>
      </text>
    </comment>
    <comment ref="A100" authorId="0" shapeId="0" xr:uid="{FE0B0CC1-33EC-4664-BB5E-87E9CFACF73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PRODERJ-CENTRO DE TECNOL.DE INF.COMUN. ERJ</t>
        </r>
      </text>
    </comment>
    <comment ref="G100" authorId="0" shapeId="0" xr:uid="{819F7AEA-B56C-474F-AB26-CD20DC6BE8E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2025NE00124</t>
        </r>
      </text>
    </comment>
    <comment ref="H100" authorId="0" shapeId="0" xr:uid="{697C127F-BB68-4C1E-88CA-F3DB30B1884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2025NE00124</t>
        </r>
      </text>
    </comment>
    <comment ref="I100" authorId="0" shapeId="0" xr:uid="{82CBFC34-4173-4073-8D56-59AC7761C48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2025NE00232</t>
        </r>
      </text>
    </comment>
    <comment ref="J100" authorId="0" shapeId="0" xr:uid="{F181C0A8-1D3B-4A56-BDEA-B588951A913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2025NE00331</t>
        </r>
      </text>
    </comment>
    <comment ref="L100" authorId="0" shapeId="0" xr:uid="{CD785775-EBAD-4D4A-9D55-447DBFF685D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DE CONTRATO</t>
        </r>
      </text>
    </comment>
    <comment ref="A101" authorId="0" shapeId="0" xr:uid="{05C40070-3D44-41D5-A747-D82D18D4C3C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PRODERJ-CENTRO DE TECNOL.DE INF.COMUN. ERJ</t>
        </r>
      </text>
    </comment>
    <comment ref="G101" authorId="0" shapeId="0" xr:uid="{3A68FB35-C86C-49DB-A8AA-073D38E4807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2025NE00126</t>
        </r>
      </text>
    </comment>
    <comment ref="H101" authorId="0" shapeId="0" xr:uid="{6B9A5DEF-9868-48CA-977B-3D5546CD728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2025NE00126</t>
        </r>
      </text>
    </comment>
    <comment ref="I101" authorId="0" shapeId="0" xr:uid="{F8987632-073B-4431-8230-57C76977C64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2025NE00224</t>
        </r>
      </text>
    </comment>
    <comment ref="A102" authorId="0" shapeId="0" xr:uid="{3AA1DA18-04DB-4D4C-ADE3-93AAF73AA9E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PRODERJ-CENTRO DE TECNOL.DE INF.COMUN. ERJ</t>
        </r>
      </text>
    </comment>
    <comment ref="G102" authorId="0" shapeId="0" xr:uid="{646A4FBF-7431-4701-8454-9D79CD8D8CA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2025NE00188</t>
        </r>
      </text>
    </comment>
    <comment ref="H102" authorId="0" shapeId="0" xr:uid="{9570F9DB-CF55-41B6-85A2-8EB04CD925A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2025NE00188
2025NE00173</t>
        </r>
      </text>
    </comment>
    <comment ref="I102" authorId="0" shapeId="0" xr:uid="{643778C7-3271-4643-9EAC-D3A9B855D02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2025NE00210</t>
        </r>
      </text>
    </comment>
    <comment ref="J102" authorId="0" shapeId="0" xr:uid="{1A4CA981-99A0-4E35-96D3-021195D824F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2025NE00313</t>
        </r>
      </text>
    </comment>
    <comment ref="A121" authorId="0" shapeId="0" xr:uid="{C110AA65-579A-4783-8600-E4B33276261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EVERY TI</t>
        </r>
      </text>
    </comment>
    <comment ref="H121" authorId="0" shapeId="0" xr:uid="{ECA4EE00-2B40-4F47-9A98-5D3171E5F38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2025NE00165</t>
        </r>
      </text>
    </comment>
    <comment ref="J121" authorId="0" shapeId="0" xr:uid="{0A45BB64-D6E5-4172-A239-1D89A271409F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2025NE00342</t>
        </r>
      </text>
    </comment>
    <comment ref="A123" authorId="0" shapeId="0" xr:uid="{5778BB87-7321-42CE-A1DB-4EA8CFBE463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NTESEC</t>
        </r>
      </text>
    </comment>
    <comment ref="F123" authorId="0" shapeId="0" xr:uid="{7B430D99-DC09-4A8B-A837-1FE7706FDD6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2025NE00117</t>
        </r>
      </text>
    </comment>
    <comment ref="G123" authorId="0" shapeId="0" xr:uid="{B403459E-8DFC-40C4-A381-B501F0A891B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2025NE00117</t>
        </r>
      </text>
    </comment>
    <comment ref="H123" authorId="0" shapeId="0" xr:uid="{97A32AC6-7AC0-4838-8590-C45AFD0EAB1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2025NE00117</t>
        </r>
      </text>
    </comment>
    <comment ref="I123" authorId="0" shapeId="0" xr:uid="{EF0C17F1-BD65-4A01-B9F0-9004FDF6BC4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2025NE00220</t>
        </r>
      </text>
    </comment>
    <comment ref="J123" authorId="0" shapeId="0" xr:uid="{88EC413E-F3D7-4DBB-8146-8DE37941395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2025NE00314</t>
        </r>
      </text>
    </comment>
    <comment ref="A124" authorId="0" shapeId="0" xr:uid="{099846EC-76D7-401E-8F89-25A722C31FB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EXTRENE</t>
        </r>
      </text>
    </comment>
    <comment ref="G124" authorId="0" shapeId="0" xr:uid="{CF32ADBF-25F1-44E2-887D-D10E97BC919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2025NE00123</t>
        </r>
      </text>
    </comment>
    <comment ref="H124" authorId="0" shapeId="0" xr:uid="{56A7B216-4BC9-487B-B2F8-80C011C5EA2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2025NE00123</t>
        </r>
      </text>
    </comment>
    <comment ref="I124" authorId="0" shapeId="0" xr:uid="{6D4017A9-E7E8-48F7-BCBD-14820CAF2D5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2025NE00229</t>
        </r>
      </text>
    </comment>
    <comment ref="J124" authorId="0" shapeId="0" xr:uid="{6947D5EC-A96D-484A-84B9-F8C391805FD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2025NE00327</t>
        </r>
      </text>
    </comment>
    <comment ref="A125" authorId="0" shapeId="0" xr:uid="{497B79E4-CF41-412E-9D66-9CCFCA283F7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CLARO S/A</t>
        </r>
      </text>
    </comment>
    <comment ref="G125" authorId="0" shapeId="0" xr:uid="{64DA357E-33C8-406C-A3CD-F94815624D8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2025NE00121</t>
        </r>
      </text>
    </comment>
    <comment ref="H125" authorId="0" shapeId="0" xr:uid="{26EC3561-B57B-4BC7-9882-104D610A2C5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2025NE00121</t>
        </r>
      </text>
    </comment>
    <comment ref="I125" authorId="0" shapeId="0" xr:uid="{A17E22CF-5921-49C4-91C6-F2AB1BFCC29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2025NE00224</t>
        </r>
      </text>
    </comment>
    <comment ref="J125" authorId="0" shapeId="0" xr:uid="{6CDFC084-2F4A-41CA-838D-8D2A2A22C29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2025NE00305</t>
        </r>
      </text>
    </comment>
    <comment ref="A126" authorId="0" shapeId="0" xr:uid="{306D89B2-C419-4725-AFC3-819E5F7D2F74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CLARO S/A
</t>
        </r>
      </text>
    </comment>
    <comment ref="G126" authorId="0" shapeId="0" xr:uid="{0C86B16D-3062-4EF9-8B5D-1664CEAB0D4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2025NE00119</t>
        </r>
      </text>
    </comment>
    <comment ref="H126" authorId="0" shapeId="0" xr:uid="{D69FF827-E827-4656-955F-302A2C572C3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2025NE00119
2025NE00200</t>
        </r>
      </text>
    </comment>
    <comment ref="I126" authorId="0" shapeId="0" xr:uid="{2E28C50F-004C-41CC-BEAF-F5DCD2C14CD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2025NE00265</t>
        </r>
      </text>
    </comment>
    <comment ref="J126" authorId="0" shapeId="0" xr:uid="{DC9E8B0C-2799-4050-95B3-4EB939C3AC8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2025NE00303</t>
        </r>
      </text>
    </comment>
    <comment ref="B129" authorId="0" shapeId="0" xr:uid="{68D3817D-4838-458C-BE8B-C8A92C05690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R$ 1.267,00 - credito contido
R$ 3.000,00 - contingenciado</t>
        </r>
      </text>
    </comment>
    <comment ref="A130" authorId="0" shapeId="0" xr:uid="{D79E4E5A-7197-4276-8A93-212954C7426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IOERJ</t>
        </r>
      </text>
    </comment>
    <comment ref="B134" authorId="0" shapeId="0" xr:uid="{11E6E6FE-183D-49F9-B31F-3BC4ADBACF2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R$ 13.994,27 - credito contido</t>
        </r>
      </text>
    </comment>
    <comment ref="F135" authorId="0" shapeId="0" xr:uid="{E91136CF-ADDD-491B-AAD0-A4F4FA87543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2025NE00006</t>
        </r>
      </text>
    </comment>
    <comment ref="G135" authorId="0" shapeId="0" xr:uid="{BEFABA9F-2956-438E-9945-F6604643C4B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2025NE00071</t>
        </r>
      </text>
    </comment>
    <comment ref="H135" authorId="0" shapeId="0" xr:uid="{20659428-37FD-4E79-ACAD-5CA8003AAA9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2025NE00142</t>
        </r>
      </text>
    </comment>
    <comment ref="I135" authorId="0" shapeId="0" xr:uid="{FFAE48D5-457C-4AAB-935D-03126C5D2C1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2025NE00209
Processo DEA SEI-120001/000234/2025
2025NE00269</t>
        </r>
      </text>
    </comment>
    <comment ref="J135" authorId="0" shapeId="0" xr:uid="{839CC1CF-FC22-42CE-911D-0D7BA9DFCE9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2025NE00320</t>
        </r>
      </text>
    </comment>
    <comment ref="L135" authorId="0" shapeId="0" xr:uid="{C7503DC3-C7C1-4BFF-8F91-CBD0696C10C8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RENOVAÇÃO DO CONTRATO</t>
        </r>
      </text>
    </comment>
    <comment ref="B139" authorId="0" shapeId="0" xr:uid="{A89711D0-50BC-44C4-8014-4928E490035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R$ 40.223.417,40 - ND 3190
R$ 45.900,00 - ND 3390
contingenciado</t>
        </r>
      </text>
    </comment>
    <comment ref="F140" authorId="0" shapeId="0" xr:uid="{9FB73AAC-1EDF-4E35-B445-DC613C6DA48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2025NE00029
2025NE00030
2025NE00031
2025NE00032
2025NE00033
2025NE00037</t>
        </r>
      </text>
    </comment>
    <comment ref="G140" authorId="0" shapeId="0" xr:uid="{90F4961A-D035-4CD1-BE26-34E67AF3F799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2025NE00056
2025NE00080
2025NE00081
2025NE00082
2025NE00083
2025NE00104
2025NE00088</t>
        </r>
      </text>
    </comment>
    <comment ref="H140" authorId="0" shapeId="0" xr:uid="{5274CA72-4B91-4E94-81F4-5706AE0332C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 xml:space="preserve">SEI-120001/000524/2025 - multas e juros jan/2025
2025NE00152
SEI-120001/000843/2025
2025NE00185
2025NE00182
2025NE00179
2025NE00181
2025NE00180
</t>
        </r>
      </text>
    </comment>
    <comment ref="I140" authorId="0" shapeId="0" xr:uid="{47067DD2-B47C-42D9-A7EE-D338BE67026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2025NE00207
SEI-120001/001139/2025
2025NE00270
2025NE00271
2025NE00274
2025NE00275</t>
        </r>
      </text>
    </comment>
    <comment ref="J140" authorId="0" shapeId="0" xr:uid="{3738D197-145F-4519-8C18-87A9737E282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0"/>
            <color indexed="81"/>
            <rFont val="Segoe UI"/>
            <family val="2"/>
          </rPr>
          <t>SEI-120001/001139/2025 - multas e juros março 2025</t>
        </r>
      </text>
    </comment>
    <comment ref="F141" authorId="0" shapeId="0" xr:uid="{BE95EE19-EE0D-4DF9-9CBE-5D08907F6AA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2025NE00034
2025NE00035</t>
        </r>
      </text>
    </comment>
    <comment ref="G141" authorId="0" shapeId="0" xr:uid="{6CDC4DD1-91CC-4D15-AE77-3D739B9F803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2025NE00084
2025NE00085</t>
        </r>
      </text>
    </comment>
    <comment ref="H141" authorId="0" shapeId="0" xr:uid="{AB5DEED9-AFB5-40E1-90CD-BC3B4ED78D03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2025NE00183
2025NE00184</t>
        </r>
      </text>
    </comment>
    <comment ref="I141" authorId="0" shapeId="0" xr:uid="{62AD2089-1BC5-4240-B587-125AC70F4D1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2025NE00272
2025NE00273</t>
        </r>
      </text>
    </comment>
    <comment ref="G142" authorId="0" shapeId="0" xr:uid="{DC21F819-7124-4DDC-A3B4-B9242B149C7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SEI-120001/000433/2025
2025NE00112</t>
        </r>
      </text>
    </comment>
    <comment ref="H142" authorId="0" shapeId="0" xr:uid="{CC022055-FEBF-4C82-B74F-CDFE7AB40DB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SEI-120001/000645/2025
2025NE00163</t>
        </r>
      </text>
    </comment>
    <comment ref="H143" authorId="0" shapeId="0" xr:uid="{37A1553E-4D2B-4C20-805F-372C8B168204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2025NE00176
2025NE00177</t>
        </r>
      </text>
    </comment>
    <comment ref="I143" authorId="0" shapeId="0" xr:uid="{2A59AC20-4A7E-49AC-B4D2-6E83F90AFEF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SEI-120001/000592/2025
SEI-120001/000638/2025
2025NE00257
2025NE00258
2025NE00267
2025NE00268</t>
        </r>
      </text>
    </comment>
    <comment ref="J143" authorId="0" shapeId="0" xr:uid="{051C7CD7-1B5B-49AB-A02D-80FFAB1B9D6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SEI-120001/001860/2024
2025NE00308
SEI-120001/001946/2024
2025NE00287
</t>
        </r>
      </text>
    </comment>
    <comment ref="K143" authorId="0" shapeId="0" xr:uid="{FDA6B954-9DDA-4D2B-999D-0865437359A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SEI-120001/003881/2024</t>
        </r>
      </text>
    </comment>
    <comment ref="F144" authorId="0" shapeId="0" xr:uid="{733EA6BD-522F-4457-80B1-98612225375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SEI-120001/000257/2025
2025NE00048</t>
        </r>
      </text>
    </comment>
    <comment ref="G144" authorId="0" shapeId="0" xr:uid="{AE57E9F0-59A1-44D9-8759-EEC6F83C688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SEI-120001/000690/2025
2025NE00154</t>
        </r>
      </text>
    </comment>
    <comment ref="H144" authorId="0" shapeId="0" xr:uid="{40AE1995-21A1-4F16-A1FB-7453F7B181D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SEI-120001/001012/2025
2025NE00245</t>
        </r>
      </text>
    </comment>
    <comment ref="F145" authorId="0" shapeId="0" xr:uid="{4D5ED539-D32C-4695-B66A-7D243AAB704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SEI-120001/000257/2025
2025NE00049</t>
        </r>
      </text>
    </comment>
    <comment ref="G145" authorId="0" shapeId="0" xr:uid="{DF178D56-6662-4DA8-A31D-191CBC6D0DA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SEI-120001/000690/2025
2025NE00156</t>
        </r>
      </text>
    </comment>
    <comment ref="H145" authorId="0" shapeId="0" xr:uid="{04167265-9F9E-431F-92B0-0C91C82BDD5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SEI-120001/001012/2025
2025NE00246</t>
        </r>
      </text>
    </comment>
    <comment ref="F146" authorId="0" shapeId="0" xr:uid="{E11C433E-44A1-4477-95FC-0C64F67E6F2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SEI-150012/000174/2025
2025NE00076</t>
        </r>
      </text>
    </comment>
    <comment ref="G146" authorId="0" shapeId="0" xr:uid="{DB6DAA1E-81F1-43AB-9B07-6EEF5500EAB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SEI-150012/000174/2025
2025NE00167</t>
        </r>
      </text>
    </comment>
    <comment ref="H146" authorId="0" shapeId="0" xr:uid="{DD83E1E7-B0BC-4320-B476-312CFF3181A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SEI-150012/000174/2025
2025NE00249</t>
        </r>
      </text>
    </comment>
    <comment ref="I146" authorId="0" shapeId="0" xr:uid="{0F8E0B17-E853-42AE-8C37-C81AA5336A11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SEI-150012/000174/2025
2025NE00316</t>
        </r>
      </text>
    </comment>
    <comment ref="F147" authorId="0" shapeId="0" xr:uid="{F2D59CEA-5B33-458B-AE43-9380FFAE052F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SEI-150012/000174/2025
2025NE00076</t>
        </r>
      </text>
    </comment>
    <comment ref="G147" authorId="0" shapeId="0" xr:uid="{DAA6E5EC-955C-4B96-A5F1-5B51111EE91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SEI-150012/000174/2025
2025NE00170</t>
        </r>
      </text>
    </comment>
    <comment ref="H147" authorId="0" shapeId="0" xr:uid="{69672A64-1672-4D55-B72F-60C21F185AE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SEI-150012/000174/2025
2025NE00250</t>
        </r>
      </text>
    </comment>
    <comment ref="I147" authorId="0" shapeId="0" xr:uid="{509C21B5-9805-4DF4-93CE-73CE966AEE3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SEI-150012/000174/2025
2025NE00317</t>
        </r>
      </text>
    </comment>
    <comment ref="F148" authorId="0" shapeId="0" xr:uid="{472808DF-6624-4732-A51E-2AA87CDC3E4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SEI-120001/000266/2025
2025NE00050</t>
        </r>
      </text>
    </comment>
    <comment ref="G148" authorId="0" shapeId="0" xr:uid="{668C4A3B-272C-4B77-8BE7-E13EC40417C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SEI-120001/000191/2025  - DEA dez 2024
2025NE00054
SEI-120001/000667/2025
2025NE00155</t>
        </r>
      </text>
    </comment>
    <comment ref="H148" authorId="0" shapeId="0" xr:uid="{E28811C5-CD3F-4EDF-85C3-F6468BA9CFB2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SEI-120001/001007/2025
2025NE00247</t>
        </r>
      </text>
    </comment>
    <comment ref="F149" authorId="0" shapeId="0" xr:uid="{ED738109-2820-4940-B2A1-AD0C1FC460B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SEI-120001/000266/2025
2025NE00051</t>
        </r>
      </text>
    </comment>
    <comment ref="G149" authorId="0" shapeId="0" xr:uid="{91BD7C71-226C-44B1-BC16-E4AC544591D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SEI-120001/000667/2025
2025NE00157</t>
        </r>
      </text>
    </comment>
    <comment ref="H149" authorId="0" shapeId="0" xr:uid="{C1D1DC22-F225-48AB-B7DD-EC0EF0DD7B76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SEI-120001/001007/2025
2025NE00248
2025NE00277</t>
        </r>
      </text>
    </comment>
    <comment ref="K150" authorId="1" shapeId="0" xr:uid="{A7C2B3E6-7A85-4042-B663-E33D651C3956}">
      <text>
        <r>
          <rPr>
            <sz val="10"/>
            <rFont val="Arial"/>
          </rPr>
          <t xml:space="preserve">
Comentário:
 AGUARDANDO DISPONIBILIDADE</t>
        </r>
      </text>
    </comment>
    <comment ref="F151" authorId="0" shapeId="0" xr:uid="{76788924-82D6-40D7-8E8D-D95D4B88EFCE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SEI-030001/016937/2025
2025NE00178</t>
        </r>
      </text>
    </comment>
    <comment ref="G151" authorId="0" shapeId="0" xr:uid="{4C14569E-B655-4A3D-B531-DB544F104BC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SEI-030001/016937/2025
2025NE00178</t>
        </r>
      </text>
    </comment>
    <comment ref="H151" authorId="0" shapeId="0" xr:uid="{16E29D74-1721-44C2-A7FD-04791EE9645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SEI-030001/042949/2025
2025NE00291
</t>
        </r>
      </text>
    </comment>
    <comment ref="F152" authorId="0" shapeId="0" xr:uid="{8C4F7CC0-14E4-45C3-B463-6C88E101D502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SEI-120001/000258/2025
2025NE00047</t>
        </r>
      </text>
    </comment>
    <comment ref="G152" authorId="0" shapeId="0" xr:uid="{3C80A5AE-BC91-4BA8-BE96-A3625AD03C4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SEI-120001/000666/2025 
2025NE00151</t>
        </r>
      </text>
    </comment>
    <comment ref="H152" authorId="0" shapeId="0" xr:uid="{97C6589F-9B1C-4D76-8587-3F4A6C04948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SEI-120001/000960/2025
2025NE00228</t>
        </r>
      </text>
    </comment>
    <comment ref="I152" authorId="0" shapeId="0" xr:uid="{D092C5CC-B219-4C9E-9CE0-C823437126E3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SEI-120001/001253/2025
2025NE00315</t>
        </r>
      </text>
    </comment>
    <comment ref="F153" authorId="0" shapeId="0" xr:uid="{9F7147F5-6665-4A6E-A0BD-2FFCC60E7CC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SEI-120001/000665/20252025NE00153</t>
        </r>
      </text>
    </comment>
    <comment ref="G153" authorId="0" shapeId="0" xr:uid="{C5C02662-4287-48AF-9AC1-A52717B0002A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SEI-120001/000665/2025
2025NE00153</t>
        </r>
      </text>
    </comment>
    <comment ref="H153" authorId="0" shapeId="0" xr:uid="{8B291358-8B55-47A6-921E-7219F1EB60FD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SEI-120001/000991/2025
2025NE00241</t>
        </r>
      </text>
    </comment>
    <comment ref="F154" authorId="0" shapeId="0" xr:uid="{060874D7-B383-4BDB-9691-A35C96E5B8B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R$ 56.415,64 - dez 2024 + 13º
2025NE00061
SEI-360008/000246/2025
2025NE00103</t>
        </r>
      </text>
    </comment>
    <comment ref="G154" authorId="0" shapeId="0" xr:uid="{FED52273-2A89-48D1-BC85-8F4A032EC710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SEI-360008/000633/2025
2025NE00239</t>
        </r>
      </text>
    </comment>
    <comment ref="H154" authorId="0" shapeId="0" xr:uid="{DE6A3FFA-2692-4393-8893-704DC5337372}">
      <text>
        <r>
          <rPr>
            <b/>
            <sz val="9"/>
            <color indexed="81"/>
            <rFont val="Segoe UI"/>
            <charset val="1"/>
          </rPr>
          <t>Bruna Munhoz da Gama:</t>
        </r>
        <r>
          <rPr>
            <sz val="9"/>
            <color indexed="81"/>
            <rFont val="Segoe UI"/>
            <charset val="1"/>
          </rPr>
          <t xml:space="preserve">
SEI-360008/000972/2025
2025NE00240</t>
        </r>
      </text>
    </comment>
    <comment ref="F155" authorId="0" shapeId="0" xr:uid="{54136820-C801-4A5D-9D98-748F13E87C7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SEI-320001/000188/2025
2025NE00046</t>
        </r>
      </text>
    </comment>
    <comment ref="G155" authorId="0" shapeId="0" xr:uid="{8C6AE391-2023-40BD-B528-F5FAE8ADDA66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SEI-320001/000188/2025
2025NE00160</t>
        </r>
      </text>
    </comment>
    <comment ref="H155" authorId="0" shapeId="0" xr:uid="{613FD155-1520-4357-8751-CA92BBE8017B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SEI-320001/000188/2025
2025NE00227</t>
        </r>
      </text>
    </comment>
    <comment ref="I155" authorId="0" shapeId="0" xr:uid="{E3612AD3-2E7A-49E8-A1AE-3E5F1E518279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SEI-320001/001107/2025
2025NE00340
SEI-320001/000188/2025 
2025NE00341</t>
        </r>
      </text>
    </comment>
    <comment ref="F156" authorId="0" shapeId="0" xr:uid="{C9DA77BA-FC55-47AF-9638-D47A0AFBB7D7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SEI-040014/001046/2025
2025NE00045</t>
        </r>
      </text>
    </comment>
    <comment ref="G156" authorId="0" shapeId="0" xr:uid="{0AA34DF8-FDE4-4ADD-8D88-65751551B37C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SEI-040014/001046/2025
2025NE00116</t>
        </r>
      </text>
    </comment>
    <comment ref="H156" authorId="0" shapeId="0" xr:uid="{55106C32-F5EC-4330-ABDD-EA7BDB6ED134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SEI-040014/001046/2025
2025NE00226</t>
        </r>
      </text>
    </comment>
    <comment ref="I156" authorId="0" shapeId="0" xr:uid="{280DF2B4-9060-4507-8A4F-0EE445E874F5}">
      <text>
        <r>
          <rPr>
            <b/>
            <sz val="9"/>
            <color indexed="81"/>
            <rFont val="Segoe UI"/>
            <family val="2"/>
          </rPr>
          <t>Bruna Munhoz da Gama:</t>
        </r>
        <r>
          <rPr>
            <sz val="9"/>
            <color indexed="81"/>
            <rFont val="Segoe UI"/>
            <family val="2"/>
          </rPr>
          <t xml:space="preserve">
SEI-040014/001046/2025
2025NE00302</t>
        </r>
      </text>
    </comment>
  </commentList>
</comments>
</file>

<file path=xl/sharedStrings.xml><?xml version="1.0" encoding="utf-8"?>
<sst xmlns="http://schemas.openxmlformats.org/spreadsheetml/2006/main" count="839" uniqueCount="479">
  <si>
    <t>Despesa</t>
  </si>
  <si>
    <t>Valor Liberado</t>
  </si>
  <si>
    <t>Fonte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</si>
  <si>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</si>
  <si>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</si>
  <si>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</si>
  <si>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</si>
  <si>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</si>
  <si>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</si>
  <si>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</si>
  <si>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</si>
  <si>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</si>
  <si>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</si>
  <si>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</si>
  <si>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</si>
  <si>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DESP. TOTAL</t>
  </si>
  <si>
    <t>SALDO</t>
  </si>
  <si>
    <t>100</t>
  </si>
  <si>
    <t>Adiantamento</t>
  </si>
  <si>
    <t>Diárias</t>
  </si>
  <si>
    <t>TOTAL</t>
  </si>
  <si>
    <t>TOTAL:</t>
  </si>
  <si>
    <t>Processo</t>
  </si>
  <si>
    <t>DESPESA OBRIGATÓRIA - P.T. 210467</t>
  </si>
  <si>
    <t>DESP. SERVS. DE UTILIDADE PÚBLICA - P.T. 218021</t>
  </si>
  <si>
    <t>MANUT DE ATIVIDADES OPERACIONAIS - P.T. 212016</t>
  </si>
  <si>
    <t>PREST. SERVS. ENTRE ÓRGÃOS - P.T. 212010</t>
  </si>
  <si>
    <t>PESSOAL E ENCARGOS - P.T. 212660</t>
  </si>
  <si>
    <t>Obrigações Tributárias e Contributivas</t>
  </si>
  <si>
    <t>Sentenças Judiciais</t>
  </si>
  <si>
    <t>Aquisição e instalação de equipamentos de áudio visual para equipar o auditório da SEPLAG</t>
  </si>
  <si>
    <t>Computação em nuvem - plataforma como serviço (PAAS)</t>
  </si>
  <si>
    <t>Serviço de Design / UX para melhoria da experiência do usuário  nas ferramentas de planejamento estratégico</t>
  </si>
  <si>
    <t>Diagramação</t>
  </si>
  <si>
    <t>Eventos com autoridades/Serviços de Copa e Cozinha</t>
  </si>
  <si>
    <t>Serviços gráficos</t>
  </si>
  <si>
    <t>Eventos simples/Serviços de Copa e Cozinha</t>
  </si>
  <si>
    <t>Contratação de palestrante</t>
  </si>
  <si>
    <t>Publicidade e propaganda</t>
  </si>
  <si>
    <t>Desenvolvimento de Projetos de Geração de Créditos de Carbono</t>
  </si>
  <si>
    <t>Registro de  Projetos de Geração de Créditos de Carbono</t>
  </si>
  <si>
    <t>CRÉDITOS CERTIFICADOS DE CARBONO E OUTROS ATIVOS SUSTENTÁVEIS - P.T. 211836</t>
  </si>
  <si>
    <t>IMPLANTAÇÃO DO PLANO ESTRATÉGICO DO ESTADO ORIENTADO AO DESENVOLVIMENTO - P.T. 211835</t>
  </si>
  <si>
    <t>Serviço de fornecimento de combustível</t>
  </si>
  <si>
    <t>SEI-120001/009617/2022</t>
  </si>
  <si>
    <t>Telefonia Movel</t>
  </si>
  <si>
    <t>SEI-120001/003343/2022</t>
  </si>
  <si>
    <t>SEI-120001/006796/2022</t>
  </si>
  <si>
    <t>SEI-120001/010038/2022</t>
  </si>
  <si>
    <t>SEI-120001/012616/2021</t>
  </si>
  <si>
    <t>Energia Elétrica</t>
  </si>
  <si>
    <t>Telefonia fixa</t>
  </si>
  <si>
    <t>Água</t>
  </si>
  <si>
    <t>Diversos</t>
  </si>
  <si>
    <r>
      <t xml:space="preserve">Ressarcimento de Pessoal Cedido - SEEDUC - </t>
    </r>
    <r>
      <rPr>
        <b/>
        <sz val="14"/>
        <rFont val="Times New Roman"/>
        <family val="1"/>
      </rPr>
      <t>DEA</t>
    </r>
  </si>
  <si>
    <t>Dot. Atualizada</t>
  </si>
  <si>
    <t>Contido</t>
  </si>
  <si>
    <t>Contingenciado</t>
  </si>
  <si>
    <t xml:space="preserve">Despesas Previstas </t>
  </si>
  <si>
    <t>Empenhado</t>
  </si>
  <si>
    <t>Planejado</t>
  </si>
  <si>
    <t>Ação</t>
  </si>
  <si>
    <t>0467</t>
  </si>
  <si>
    <t>Dot. Inicial (LOA)</t>
  </si>
  <si>
    <t>Saldo</t>
  </si>
  <si>
    <t>SEI-120001/001796/2023</t>
  </si>
  <si>
    <t>Serviços de prevenção e combate a incêndio</t>
  </si>
  <si>
    <t>Serviços de agência de viagens</t>
  </si>
  <si>
    <t>Adesão a programa de Saúde e Medicina do Trabalho</t>
  </si>
  <si>
    <t>Publicação de matéria legal de interesse da SEPLAG</t>
  </si>
  <si>
    <t>SEI-120001/001016/2022</t>
  </si>
  <si>
    <t>Serviço de cobertura de seguro patrimonial</t>
  </si>
  <si>
    <t>Pagamento da contribuição anual dos membros do Conselho - Consad</t>
  </si>
  <si>
    <t>Pagamento da contribuição anual dos membros do Conselho - Conseplan</t>
  </si>
  <si>
    <t>Serviço continuado de recarga e manutenção de extintores de incêndio e mangueiras</t>
  </si>
  <si>
    <t>SEI-150001/001473/2024</t>
  </si>
  <si>
    <t>SEI-120001/005472/2023</t>
  </si>
  <si>
    <t>Prestação de serviços essenciais de Comunicação Digital</t>
  </si>
  <si>
    <t>Fornecimento de subscrição de software de apoio na adequação às obrigações da Lei Nº 13.709, de 14 de Agosto de 2018, Lei Geral de Proteção de Dados Pessoais - LGPD, incluindo o suporte técnico da solução por 12 meses, bem como o fornecimento de serviços de instalação, treinamento e consultoria para apoio na adequação à LGPD</t>
  </si>
  <si>
    <t>Capacitação de Servidores  da SEPLAG - Temática Sobre Procedimentos de Compras e Contratações na Administração Pública</t>
  </si>
  <si>
    <t>SEI-04/177/000603/2019</t>
  </si>
  <si>
    <t>SEI-120001/000448/2022</t>
  </si>
  <si>
    <t>SEI-120001/001060/2021</t>
  </si>
  <si>
    <t>SEI-120001/001607/2023</t>
  </si>
  <si>
    <t>SEI-120001/001738/2023</t>
  </si>
  <si>
    <t>SEI-120001/001896/2023</t>
  </si>
  <si>
    <t>SEI-120001/001930/2022</t>
  </si>
  <si>
    <t>SEI-120001/002017/2023</t>
  </si>
  <si>
    <t>Fornecimento de 1 (um) link de dados de 100Mb e conexão com a internet.</t>
  </si>
  <si>
    <t>Serviço de Manutenção Preventiva, Corretiva e Emergencial com fornecimento de peças para 04 (quatro) elevadores.</t>
  </si>
  <si>
    <t>Fornecimento de acesso a banco de dados para consulta de preços de serviços e aquisições praticados pelo mercado público.</t>
  </si>
  <si>
    <r>
      <t xml:space="preserve">Ressarcimento de Pessoal Cedido - PRF </t>
    </r>
    <r>
      <rPr>
        <sz val="14"/>
        <color rgb="FF0070C0"/>
        <rFont val="Times New Roman"/>
        <family val="1"/>
      </rPr>
      <t>3190</t>
    </r>
  </si>
  <si>
    <r>
      <t xml:space="preserve">Ressarcimento de Pessoal Cedido - PRF - Benefício </t>
    </r>
    <r>
      <rPr>
        <sz val="14"/>
        <color rgb="FF0070C0"/>
        <rFont val="Times New Roman"/>
        <family val="1"/>
      </rPr>
      <t>3390</t>
    </r>
  </si>
  <si>
    <r>
      <t xml:space="preserve">Ressarcimento de Pessoal Cedido - IOERJ - Benefício </t>
    </r>
    <r>
      <rPr>
        <sz val="14"/>
        <color rgb="FF0070C0"/>
        <rFont val="Times New Roman"/>
        <family val="1"/>
      </rPr>
      <t>3390</t>
    </r>
  </si>
  <si>
    <r>
      <t xml:space="preserve">Ressarcimento de Pessoal Cedido - Prefeitura Municipal De Nova Iguacu - Benefício </t>
    </r>
    <r>
      <rPr>
        <sz val="14"/>
        <color rgb="FF0070C0"/>
        <rFont val="Times New Roman"/>
        <family val="1"/>
      </rPr>
      <t>3390</t>
    </r>
  </si>
  <si>
    <r>
      <t xml:space="preserve">Ressarcimento de Pessoal Cedido - IOERJ </t>
    </r>
    <r>
      <rPr>
        <sz val="14"/>
        <color rgb="FF0070C0"/>
        <rFont val="Times New Roman"/>
        <family val="1"/>
      </rPr>
      <t>3190</t>
    </r>
  </si>
  <si>
    <r>
      <t xml:space="preserve">Ressarcimento de Pessoal Cedido - SEPOL </t>
    </r>
    <r>
      <rPr>
        <sz val="14"/>
        <color rgb="FF0070C0"/>
        <rFont val="Times New Roman"/>
        <family val="1"/>
      </rPr>
      <t>3191</t>
    </r>
  </si>
  <si>
    <r>
      <t xml:space="preserve">Ressarcimento de Pessoal Cedido - CGE </t>
    </r>
    <r>
      <rPr>
        <sz val="14"/>
        <color rgb="FF0070C0"/>
        <rFont val="Times New Roman"/>
        <family val="1"/>
      </rPr>
      <t>3191</t>
    </r>
  </si>
  <si>
    <r>
      <t xml:space="preserve">Ressarcimento de Pessoal Cedido - Rioprevidência </t>
    </r>
    <r>
      <rPr>
        <sz val="14"/>
        <color rgb="FF0070C0"/>
        <rFont val="Times New Roman"/>
        <family val="1"/>
      </rPr>
      <t>3191</t>
    </r>
  </si>
  <si>
    <r>
      <t xml:space="preserve">Ressarcimento de Pessoal Cedido - SEEDUC </t>
    </r>
    <r>
      <rPr>
        <sz val="14"/>
        <color rgb="FF0070C0"/>
        <rFont val="Times New Roman"/>
        <family val="1"/>
      </rPr>
      <t>3191</t>
    </r>
  </si>
  <si>
    <r>
      <t xml:space="preserve">Ressarcimento de Pessoal Cedido - Prefeitura Municipal De Maricá </t>
    </r>
    <r>
      <rPr>
        <sz val="14"/>
        <color rgb="FF0070C0"/>
        <rFont val="Times New Roman"/>
        <family val="1"/>
      </rPr>
      <t>3190</t>
    </r>
  </si>
  <si>
    <r>
      <t xml:space="preserve">Ressarcimento de Pessoal Cedido - Câmara Municipal de Paracambi </t>
    </r>
    <r>
      <rPr>
        <sz val="14"/>
        <color rgb="FF0070C0"/>
        <rFont val="Times New Roman"/>
        <family val="1"/>
      </rPr>
      <t>3190</t>
    </r>
  </si>
  <si>
    <r>
      <t xml:space="preserve">Ressarcimento de Pessoal Cedido - Prefeitura Municipal De Nova Iguacu - Benefício </t>
    </r>
    <r>
      <rPr>
        <sz val="14"/>
        <color rgb="FF0070C0"/>
        <rFont val="Times New Roman"/>
        <family val="1"/>
      </rPr>
      <t>3190</t>
    </r>
  </si>
  <si>
    <r>
      <t xml:space="preserve">Encargos </t>
    </r>
    <r>
      <rPr>
        <sz val="14"/>
        <color rgb="FF0070C0"/>
        <rFont val="Times New Roman"/>
        <family val="1"/>
      </rPr>
      <t>3191</t>
    </r>
  </si>
  <si>
    <r>
      <t xml:space="preserve">Folha de Pagamento - Principal </t>
    </r>
    <r>
      <rPr>
        <sz val="14"/>
        <color rgb="FF0070C0"/>
        <rFont val="Times New Roman"/>
        <family val="1"/>
      </rPr>
      <t>3190</t>
    </r>
  </si>
  <si>
    <r>
      <t xml:space="preserve">Auxílio Funeral </t>
    </r>
    <r>
      <rPr>
        <sz val="14"/>
        <color rgb="FF0070C0"/>
        <rFont val="Times New Roman"/>
        <family val="1"/>
      </rPr>
      <t>3390</t>
    </r>
  </si>
  <si>
    <r>
      <t xml:space="preserve">Pecúnia </t>
    </r>
    <r>
      <rPr>
        <sz val="14"/>
        <color rgb="FF0070C0"/>
        <rFont val="Times New Roman"/>
        <family val="1"/>
      </rPr>
      <t>3190</t>
    </r>
  </si>
  <si>
    <t>Serviços continuados de outsourcing para operação de almoxarifado virtual</t>
  </si>
  <si>
    <t>Serviços de recuperação e reforma de fachadas</t>
  </si>
  <si>
    <t>Serviços de locação de 08 veículos de serviço</t>
  </si>
  <si>
    <t>Serviço continuado de limpeza</t>
  </si>
  <si>
    <t>SEI-120001/002331/2022</t>
  </si>
  <si>
    <t>SEI-120001/002684/2022</t>
  </si>
  <si>
    <t>SEI-120001/003167/2023</t>
  </si>
  <si>
    <t>SEI-120001/003363/2023</t>
  </si>
  <si>
    <t>SEI-120001/003558/2021</t>
  </si>
  <si>
    <t>SEI-120001/003891/2023</t>
  </si>
  <si>
    <t>SEI-120001/004552/2022</t>
  </si>
  <si>
    <t>SEI-120001/004597/2022</t>
  </si>
  <si>
    <t>SEI-120001/005542/2022</t>
  </si>
  <si>
    <t>SEI-120001/006060/2022</t>
  </si>
  <si>
    <t>SEI-12/0001/008381/2021</t>
  </si>
  <si>
    <t>SEI-120001/009967/2020</t>
  </si>
  <si>
    <t>SEI-120001/010297/2022</t>
  </si>
  <si>
    <t>SEI-120001/011839/2022</t>
  </si>
  <si>
    <t>SEI-120001/013473/2020</t>
  </si>
  <si>
    <t>SEI-120001/017120/2020</t>
  </si>
  <si>
    <t>SEI-120001/014283/2020</t>
  </si>
  <si>
    <t>SEI-120001/000835/2024</t>
  </si>
  <si>
    <t>SEI-120001/000800/2024</t>
  </si>
  <si>
    <t>SEI-120001/001197/2024</t>
  </si>
  <si>
    <t>Serviços de hospedagem de mensageria eletrônica (e-mail), incluindo infraestrutura de hardware, software, armazenamento, backup dos dados, segurança e monitoramento</t>
  </si>
  <si>
    <t>Formatação, Consolidação e Difusão dos Decr.Est.- LIZ SERV. ONLINE</t>
  </si>
  <si>
    <t>Serviços continuados de vigilância patrimonial armada e desarmada</t>
  </si>
  <si>
    <t>Serviços de adesão, captação, instalação e distribuição de pontos de sinais de TV por assinatura</t>
  </si>
  <si>
    <t>Serviços com o fornecimento de link de dados e conexão com a internet, através da Rede Governo do Estado do Rio de Janeiro</t>
  </si>
  <si>
    <t>Serviço de locação de 01 veículo de escolta</t>
  </si>
  <si>
    <t>Serviços de solução continuada de impressão, cópia e digitalização</t>
  </si>
  <si>
    <t>Serviços contínuos apoio administrativo nas áreas de recepção, copeiragem e garçom</t>
  </si>
  <si>
    <t>Serviços de armazenamento de arquivos em formato digital - servidor de arquivo (Fileserver)</t>
  </si>
  <si>
    <t>Serviços de manutenção preventiva e corretiva de catracas de acesso</t>
  </si>
  <si>
    <t>Serviços de Hospedagem em Servidores Virtuais Privados (VPS)</t>
  </si>
  <si>
    <t>Serviços continuados de gerenciamento e controle integrado de vetores e pragas urbanas</t>
  </si>
  <si>
    <t>Serviço de locação de veículo de representação blindado</t>
  </si>
  <si>
    <t>Serviços de implementação, gerenciamento e administração da concessão de auxílio alimentação e/ou refeição</t>
  </si>
  <si>
    <t>Serviços continuados de manutenção predial preventiva e corretiva</t>
  </si>
  <si>
    <t>Serviços de operação, manutenção preventiva, corretiva, emergencial e assistência técnica de sistemas de refrigeração 24 horas</t>
  </si>
  <si>
    <t>Hospedagem Virtual VPS (SUBLOG)</t>
  </si>
  <si>
    <t>Serviço de fornecimento de solução de segurança para proteção de dispositivos finais (antivírus) - Serviços de suporte em tecnologia da informação</t>
  </si>
  <si>
    <t>Licença de Software de gestão de contratos públicos</t>
  </si>
  <si>
    <t>Contratação de Agente Integrador para realizar recrutamento, seleção, administração do processo contratual, acompanhamento e avaliação de estagiários, efetivar os respectivos repasses de bolsas e auxílios.</t>
  </si>
  <si>
    <t>Modalidade</t>
  </si>
  <si>
    <t>FAPERJ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</si>
  <si>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</si>
  <si>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</si>
  <si>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</si>
  <si>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</si>
  <si>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</si>
  <si>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</si>
  <si>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</si>
  <si>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</si>
  <si>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</si>
  <si>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</si>
  <si>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</si>
  <si>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</si>
  <si>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SALDO TOTAL A PAGAR</t>
  </si>
  <si>
    <t>ORGÃOS</t>
  </si>
  <si>
    <t>OBS</t>
  </si>
  <si>
    <t>SETRAB</t>
  </si>
  <si>
    <t>SEDSODH</t>
  </si>
  <si>
    <t>SECTI</t>
  </si>
  <si>
    <t>SEM</t>
  </si>
  <si>
    <t>CGE</t>
  </si>
  <si>
    <t>RJPREV</t>
  </si>
  <si>
    <t>SECC</t>
  </si>
  <si>
    <t>CEE</t>
  </si>
  <si>
    <t>BRADESCO</t>
  </si>
  <si>
    <t>SEFAZ (ITD)</t>
  </si>
  <si>
    <t>Descentr. Crédito</t>
  </si>
  <si>
    <t>RATEIOS 2022</t>
  </si>
  <si>
    <t>VALOR DEVIDO</t>
  </si>
  <si>
    <t>PAGAMENTOS REALIZADOS</t>
  </si>
  <si>
    <t>SALDO À PAGAR</t>
  </si>
  <si>
    <t>Total</t>
  </si>
  <si>
    <t>PAGO</t>
  </si>
  <si>
    <t>CEE / SEEDUC</t>
  </si>
  <si>
    <t>em 2022</t>
  </si>
  <si>
    <t>TOTAIS</t>
  </si>
  <si>
    <t>RATEIOS 2023</t>
  </si>
  <si>
    <t>em 2023</t>
  </si>
  <si>
    <t>RATEIOS 2024 - 1º SEMESTRE</t>
  </si>
  <si>
    <t>GRE - 10/06/24</t>
  </si>
  <si>
    <t>GRE - 21/06/24</t>
  </si>
  <si>
    <t>GRE - 10/07/24</t>
  </si>
  <si>
    <t>PREVISÃO RATEIOS 2024 - 2º SEMESTRE</t>
  </si>
  <si>
    <t>1º Sem. 2024</t>
  </si>
  <si>
    <t>2º Sem. 2024</t>
  </si>
  <si>
    <t>CONTROLE DE CRÉDITOS RECEBIDOS PARA PAGAMENTO RATEIO CONDOMÍNIO</t>
  </si>
  <si>
    <t>NR</t>
  </si>
  <si>
    <t>PT</t>
  </si>
  <si>
    <t>FR</t>
  </si>
  <si>
    <t>UO origem</t>
  </si>
  <si>
    <t>Sigla</t>
  </si>
  <si>
    <t>Objeto</t>
  </si>
  <si>
    <t>Competência</t>
  </si>
  <si>
    <t>SEI SIPLAG redução</t>
  </si>
  <si>
    <t>SEI SIPLAG suplementação</t>
  </si>
  <si>
    <t>Data emissão</t>
  </si>
  <si>
    <t>Mod.</t>
  </si>
  <si>
    <t>Valor R$</t>
  </si>
  <si>
    <t>EMPENHO (S)</t>
  </si>
  <si>
    <t>TOTAL EMP</t>
  </si>
  <si>
    <t>CONTROLE DE DESCENTRALIZAÇÕES RECEBIDAS PARA PAGAMENTO RATEIO CONDOMÍNIO</t>
  </si>
  <si>
    <t>UG emitente</t>
  </si>
  <si>
    <t>Resolução/Portaria</t>
  </si>
  <si>
    <t>Pulicação</t>
  </si>
  <si>
    <t>Doc.</t>
  </si>
  <si>
    <t>Data Emissão</t>
  </si>
  <si>
    <t>DESPESAS CONDOMINIAIS SEPLAG 2024</t>
  </si>
  <si>
    <t>Fornecedor</t>
  </si>
  <si>
    <t>Valor mensal</t>
  </si>
  <si>
    <t>Sermacol</t>
  </si>
  <si>
    <t>Fenixx</t>
  </si>
  <si>
    <t>DES elevadores</t>
  </si>
  <si>
    <t>Leste &amp; Sudeste</t>
  </si>
  <si>
    <t>Dedetec</t>
  </si>
  <si>
    <t>WV10</t>
  </si>
  <si>
    <t>JGM</t>
  </si>
  <si>
    <t>Brigadistas</t>
  </si>
  <si>
    <t>Vigilância</t>
  </si>
  <si>
    <t>Manut. Elevadores</t>
  </si>
  <si>
    <t>Limpeza</t>
  </si>
  <si>
    <t>Catracas</t>
  </si>
  <si>
    <t>Controle Pragas</t>
  </si>
  <si>
    <t>Manut. Predial</t>
  </si>
  <si>
    <t>Manut. Ar cond.</t>
  </si>
  <si>
    <t>Vega</t>
  </si>
  <si>
    <t>Light</t>
  </si>
  <si>
    <t>Aguas do rio</t>
  </si>
  <si>
    <t>Seguro Predial</t>
  </si>
  <si>
    <t>Mapfre</t>
  </si>
  <si>
    <t>Concessionária</t>
  </si>
  <si>
    <t>-</t>
  </si>
  <si>
    <t>GD</t>
  </si>
  <si>
    <t>1 - Pessoal e Encargos Sociais</t>
  </si>
  <si>
    <t>3 - Manutenção, atividades e projetos finalísticos</t>
  </si>
  <si>
    <t>6 - Serviço de Utilidade Pública</t>
  </si>
  <si>
    <t>2 - Despesas Obrigatórias</t>
  </si>
  <si>
    <t>Anexo</t>
  </si>
  <si>
    <t>I.A</t>
  </si>
  <si>
    <t>I.B</t>
  </si>
  <si>
    <t>I.C</t>
  </si>
  <si>
    <t>I.D</t>
  </si>
  <si>
    <t>Descrição</t>
  </si>
  <si>
    <t>Outras despesas de caráter obrigatório</t>
  </si>
  <si>
    <t>Serviço de utilidade pública</t>
  </si>
  <si>
    <t>Manutenção, atividades finalísticas e projetos</t>
  </si>
  <si>
    <t>Pessoal e Encargos sociais</t>
  </si>
  <si>
    <t>LDE - Decreto de Programação</t>
  </si>
  <si>
    <t>Valor LOA</t>
  </si>
  <si>
    <t>Valor LDE</t>
  </si>
  <si>
    <t>LDE</t>
  </si>
  <si>
    <t>Legenda LDE:</t>
  </si>
  <si>
    <t>SALDO A RECEBER SEPLAG</t>
  </si>
  <si>
    <t>Não recebemos, vai direto pro tesouro</t>
  </si>
  <si>
    <t>Despesa (Adiantamento)</t>
  </si>
  <si>
    <t>Fábrica de Software</t>
  </si>
  <si>
    <t>SEI-120001/001754/2024</t>
  </si>
  <si>
    <t>SEI-120001/002652/2024</t>
  </si>
  <si>
    <t>Certificados Digitais modelo SSL</t>
  </si>
  <si>
    <t>Manu Quality</t>
  </si>
  <si>
    <t>Fachada Predio</t>
  </si>
  <si>
    <t>Valor</t>
  </si>
  <si>
    <t>02 Links de Dados MPLS - Rede IP Governo</t>
  </si>
  <si>
    <t>SEI-120001/000203/2024</t>
  </si>
  <si>
    <t>Emissão de Laudos Técnicos</t>
  </si>
  <si>
    <t>Correios</t>
  </si>
  <si>
    <t>SEI-120001/002625/2024</t>
  </si>
  <si>
    <t>Servidor</t>
  </si>
  <si>
    <t>Favorecido</t>
  </si>
  <si>
    <t>Nº NE</t>
  </si>
  <si>
    <t>Processo prestação de contas</t>
  </si>
  <si>
    <t>Cargo</t>
  </si>
  <si>
    <t>Disponibilidade</t>
  </si>
  <si>
    <t>Nota de Empenho</t>
  </si>
  <si>
    <t>sim</t>
  </si>
  <si>
    <t>Efetivo</t>
  </si>
  <si>
    <t>ND</t>
  </si>
  <si>
    <t>3390</t>
  </si>
  <si>
    <t>4490</t>
  </si>
  <si>
    <t>3391</t>
  </si>
  <si>
    <t>SEI-120001/003805/2024</t>
  </si>
  <si>
    <t>Maria da Gloria de Albuquerque Santos</t>
  </si>
  <si>
    <t>Carolina Gonçalves Zidan</t>
  </si>
  <si>
    <t>SEI-120001/003881/2024</t>
  </si>
  <si>
    <t>SEI-120001/004088/2024</t>
  </si>
  <si>
    <t>Gilson de Avelar Gusmão</t>
  </si>
  <si>
    <t>não</t>
  </si>
  <si>
    <t>SEI-120001/001946/2024</t>
  </si>
  <si>
    <t>Luiz Eduardo Muniz Teixeira</t>
  </si>
  <si>
    <t>Sem empenho</t>
  </si>
  <si>
    <t>CONTROLE LIBERAÇÃO LDE  2025</t>
  </si>
  <si>
    <t>CONTROLE DE DIÁRIAS 2025</t>
  </si>
  <si>
    <t>CONTROLE DE ADIANTAMENTOS 2025</t>
  </si>
  <si>
    <t>Valor ND</t>
  </si>
  <si>
    <t>CONTROLE DE PEDIDOS DE PECÚNIAS 2025</t>
  </si>
  <si>
    <t>Pecúnias solicitadas em 2024</t>
  </si>
  <si>
    <t>RATEIOS 2025 - 1º SEMESTRE</t>
  </si>
  <si>
    <t>PREVISÃO RATEIOS 2025 - 2º SEMESTRE</t>
  </si>
  <si>
    <t>ORÇAMENTO SEPLAG 2025</t>
  </si>
  <si>
    <t>MODERNIZAÇÃO E GOV. TECNOLÓGICAS - P.T. 214903</t>
  </si>
  <si>
    <t>SEI-150001/012983/2024</t>
  </si>
  <si>
    <t>Aquisição de café, açúcar e adoçante</t>
  </si>
  <si>
    <r>
      <t xml:space="preserve">Despesas com peças de operação referente a manutenção preventiva, corretiva, emergencial e assistência técnica de sistemas de refrigeração 24 horas - </t>
    </r>
    <r>
      <rPr>
        <b/>
        <sz val="14"/>
        <rFont val="Times New Roman"/>
        <family val="1"/>
      </rPr>
      <t>PEÇAS</t>
    </r>
  </si>
  <si>
    <t>SEI-120001/003326/2024</t>
  </si>
  <si>
    <t>Aquisição de computadores</t>
  </si>
  <si>
    <t>Manutenção Predial e Arquivo DPERJ</t>
  </si>
  <si>
    <t xml:space="preserve">Outros serviços de infraestrutura em TI </t>
  </si>
  <si>
    <t xml:space="preserve">Serviço de licença de Softweres </t>
  </si>
  <si>
    <t>Serviço de Recuperação e reforma de fachadas</t>
  </si>
  <si>
    <t>SQL SERVER Enterprise (SUBPLO UO 21011)</t>
  </si>
  <si>
    <t>Capacitação de Servidores  da SEPLAG</t>
  </si>
  <si>
    <t>Soluções digitais para modernização do parque tecnológico (Equipamentos de TIC)</t>
  </si>
  <si>
    <t>DLP/IAM/SIEM ( Solução digital de seg. da informação/proteção de dados/defesa cibernética)</t>
  </si>
  <si>
    <t>Servidor de Aplicação (GLPI,Zabbix e Grafana)</t>
  </si>
  <si>
    <t>Soluções digitais para manutenção do parque tecnológico (Equipamentos de TIC) - Consumo</t>
  </si>
  <si>
    <t>Benefício Corporativo de Saúde Física e Mental</t>
  </si>
  <si>
    <t>Pacote Office</t>
  </si>
  <si>
    <t>Hospedagem em servidores virtuais privados - Novo</t>
  </si>
  <si>
    <t>Aquisição de Programa de Gestão de Contratos</t>
  </si>
  <si>
    <t>Serviço colaborativo em nuvem para criação e compartilhamento de documentos</t>
  </si>
  <si>
    <t>Plataforma online de design e comunicação virtual</t>
  </si>
  <si>
    <t>Serviços de armazenamento de arquivos em formato digital</t>
  </si>
  <si>
    <t>Serviço de Buffet</t>
  </si>
  <si>
    <t>Aquisição de elevadores</t>
  </si>
  <si>
    <t>SEI-430002/000144/2025</t>
  </si>
  <si>
    <t>SEI-120001/000140/2025</t>
  </si>
  <si>
    <t>SEI-120001/000178/2025</t>
  </si>
  <si>
    <t>SEPLAG</t>
  </si>
  <si>
    <t>Daniel Silva de Holanda</t>
  </si>
  <si>
    <t>Despesas miúdas de pronto pagamento</t>
  </si>
  <si>
    <t>Flavio dos Santos</t>
  </si>
  <si>
    <t>SEI-120001/000103/2025</t>
  </si>
  <si>
    <t>2025NE00041</t>
  </si>
  <si>
    <t>2025NE00044</t>
  </si>
  <si>
    <t>2025NE00043</t>
  </si>
  <si>
    <t>2025NE00042</t>
  </si>
  <si>
    <t>SEI-120001/000090/2025</t>
  </si>
  <si>
    <t>SEI-120001/000031/2025</t>
  </si>
  <si>
    <t>SEI-120001/000088/2025</t>
  </si>
  <si>
    <t>SEI-120001/000334/2025</t>
  </si>
  <si>
    <t>SEI-120001/000330/2025</t>
  </si>
  <si>
    <t>SEI-120001/000335/2025</t>
  </si>
  <si>
    <t>SEI-120001/000352/2025</t>
  </si>
  <si>
    <t>SEI-120001/000338/2025</t>
  </si>
  <si>
    <t>SEI-120001/000349/2025</t>
  </si>
  <si>
    <t>João Fellipe Oliveira Moreira</t>
  </si>
  <si>
    <t>EGEP/SEPLAG</t>
  </si>
  <si>
    <t>DPERJ</t>
  </si>
  <si>
    <t>SEI-120002/000027/2025</t>
  </si>
  <si>
    <t>Josemar Borges Silva</t>
  </si>
  <si>
    <t>SEI-120001/000434/2025</t>
  </si>
  <si>
    <t>Flavio Fernandes Novaes</t>
  </si>
  <si>
    <t>SEI-120001/000431/2025</t>
  </si>
  <si>
    <t>Wellington Souza da Costa</t>
  </si>
  <si>
    <t>2025NE00064</t>
  </si>
  <si>
    <t>2025NE00069</t>
  </si>
  <si>
    <t>SEI-120001/000461/2025</t>
  </si>
  <si>
    <t>2025NE00109</t>
  </si>
  <si>
    <t>2025NE00110</t>
  </si>
  <si>
    <t>2025NE00113</t>
  </si>
  <si>
    <t>2025NE00114</t>
  </si>
  <si>
    <t>SEI-120001/000332/2025</t>
  </si>
  <si>
    <t>SEI-120001/000538/2025</t>
  </si>
  <si>
    <t>SEI-120001/003857/2024</t>
  </si>
  <si>
    <t>Consultoria GAPPO</t>
  </si>
  <si>
    <t>SEI-120001/000496/2025</t>
  </si>
  <si>
    <t>2025NE00101</t>
  </si>
  <si>
    <t>Pessoal e encargos sociais</t>
  </si>
  <si>
    <t>combustivel</t>
  </si>
  <si>
    <t>custeio</t>
  </si>
  <si>
    <t>credito carbono</t>
  </si>
  <si>
    <t>concessionárias</t>
  </si>
  <si>
    <t>despesas obrigatórias</t>
  </si>
  <si>
    <r>
      <t xml:space="preserve">Aquisição e instalação de Condensadoras - </t>
    </r>
    <r>
      <rPr>
        <b/>
        <sz val="14"/>
        <rFont val="Times New Roman"/>
        <family val="1"/>
      </rPr>
      <t>DEA</t>
    </r>
  </si>
  <si>
    <t>SEI-120001/000561/2025</t>
  </si>
  <si>
    <t>SEI-120001/000540/2025</t>
  </si>
  <si>
    <t>SEI-120001/000554/2025</t>
  </si>
  <si>
    <t>E-04/001/19/2017</t>
  </si>
  <si>
    <t>PROGRESSÕES</t>
  </si>
  <si>
    <t>Valor 2025</t>
  </si>
  <si>
    <t>Valor 2026</t>
  </si>
  <si>
    <t>E-04/001/46/2017</t>
  </si>
  <si>
    <t>Doc SEI Disponibilidade</t>
  </si>
  <si>
    <t>E-01/004/443/2015</t>
  </si>
  <si>
    <t>1º trimestre do exercício de 2025 Executivo Público</t>
  </si>
  <si>
    <t>E-04/001/18/2017</t>
  </si>
  <si>
    <t> 1º trimestre do exercício de 2025 EPPGGPO</t>
  </si>
  <si>
    <t>E-04/001/47/2017</t>
  </si>
  <si>
    <t>SEI-120001/000638/2025</t>
  </si>
  <si>
    <t>Carla Prata Lopes</t>
  </si>
  <si>
    <t>Comissionado</t>
  </si>
  <si>
    <t>2025NE00176
2025NE00177</t>
  </si>
  <si>
    <t>Paulo Eduardo Alves Rodrigues</t>
  </si>
  <si>
    <t>SEI-120001/001860/2024</t>
  </si>
  <si>
    <t>Vitor de Oliveira José</t>
  </si>
  <si>
    <t>SEI-120001/000592/2025</t>
  </si>
  <si>
    <t>Agostinho de Carvalho Cezar</t>
  </si>
  <si>
    <t>SEI-120001/003080/2024</t>
  </si>
  <si>
    <t>SEI-120001/000736/2025</t>
  </si>
  <si>
    <t>SEI-120001/003719/2024</t>
  </si>
  <si>
    <t>SEI-120001/003720/2024</t>
  </si>
  <si>
    <t>SEI-120001/000619/2025</t>
  </si>
  <si>
    <t>SEI-120001/003718/2024</t>
  </si>
  <si>
    <t>SEI-120001/000839/2025</t>
  </si>
  <si>
    <t>SEI-120001/000852/2025</t>
  </si>
  <si>
    <t>SEI-120001/000870/2025</t>
  </si>
  <si>
    <t>Jeferson Luiz Felipe da Silva</t>
  </si>
  <si>
    <t>SEI-120001/000737/2025</t>
  </si>
  <si>
    <t>Workshop Aplicação Prática IA</t>
  </si>
  <si>
    <t>SEI-120001/000170/2025</t>
  </si>
  <si>
    <t>XI Simpósio Nacional - Previdência dos Servidores Públicos</t>
  </si>
  <si>
    <t>2025NE00212</t>
  </si>
  <si>
    <t>SEI-120001/000641/2025</t>
  </si>
  <si>
    <t>SEI-120001/000687/2025</t>
  </si>
  <si>
    <t>SEI-120001/001027/2025</t>
  </si>
  <si>
    <t>SEI-120001/001034/2025</t>
  </si>
  <si>
    <t>SEI-120001/000980/2025</t>
  </si>
  <si>
    <t>107.518,25 </t>
  </si>
  <si>
    <t>1º congresso CONSEPLAN</t>
  </si>
  <si>
    <t>SEI-120001/000597/2025</t>
  </si>
  <si>
    <t>SEI-120001/003995/2024</t>
  </si>
  <si>
    <r>
      <t xml:space="preserve">Claro S.A - </t>
    </r>
    <r>
      <rPr>
        <b/>
        <sz val="14"/>
        <rFont val="Times New Roman"/>
        <family val="1"/>
      </rPr>
      <t>DEA</t>
    </r>
  </si>
  <si>
    <t>SEI-120001/001083/2025</t>
  </si>
  <si>
    <t>Eric Gabriel Fonseca da Silva</t>
  </si>
  <si>
    <t>2025NE00237</t>
  </si>
  <si>
    <t>2025NE00238</t>
  </si>
  <si>
    <t>2025NE00236</t>
  </si>
  <si>
    <t>SEI-120001/001045/2025</t>
  </si>
  <si>
    <t>E-01/067/1920/2016</t>
  </si>
  <si>
    <t>2º trimestre do exercício de 2025 Executivo Público</t>
  </si>
  <si>
    <t>E-04/170/11/2017</t>
  </si>
  <si>
    <t> 2º trimestre do exercício de 2025 EPPGGPO</t>
  </si>
  <si>
    <t>SEI-120001/001116/2023</t>
  </si>
  <si>
    <t>E-12/225/05/2019</t>
  </si>
  <si>
    <t>SEI-120001/001726/2024</t>
  </si>
  <si>
    <t>SEI-120001/001063/2025</t>
  </si>
  <si>
    <t>SEI-120001/001062/2025</t>
  </si>
  <si>
    <t>SEI-120001/000701/2025</t>
  </si>
  <si>
    <t>30º Congresso Internacional ABED</t>
  </si>
  <si>
    <t>2025NE00278</t>
  </si>
  <si>
    <t>2025NE00279</t>
  </si>
  <si>
    <t>2025NE00257 e 2025NE00258</t>
  </si>
  <si>
    <t xml:space="preserve">2025NE00267 e 2025NE00268             </t>
  </si>
  <si>
    <t>SEI-120001/000981/2025</t>
  </si>
  <si>
    <t>SEI-120001/000900/2025</t>
  </si>
  <si>
    <t>SEI-120001/001193/2025</t>
  </si>
  <si>
    <t>SEI-120001/001098/2025</t>
  </si>
  <si>
    <t>SEI-120001/000979/2025</t>
  </si>
  <si>
    <t>SEI-120001/001079/2025</t>
  </si>
  <si>
    <t>SEI-120001/001075/2025</t>
  </si>
  <si>
    <t>SEI-120001/001084/2025</t>
  </si>
  <si>
    <t>SEI-120001/001021/2025</t>
  </si>
  <si>
    <t>SEI-120001/001146/2025</t>
  </si>
  <si>
    <t>SEI-120001/001071/2025</t>
  </si>
  <si>
    <t>SEI-120001/001109/2025</t>
  </si>
  <si>
    <t>SEI-120001/001176/2025</t>
  </si>
  <si>
    <t>SEI-120001/001110/2025</t>
  </si>
  <si>
    <t>SEI-120001/001126/2025</t>
  </si>
  <si>
    <t>2025NE00308</t>
  </si>
  <si>
    <t>SEI-120001/001249/2025</t>
  </si>
  <si>
    <t>SEI-120001/001267/2025</t>
  </si>
  <si>
    <t>SEI-120001/001277/2025</t>
  </si>
  <si>
    <t>SEI-120001/001248/2025</t>
  </si>
  <si>
    <t>SEI-120001/001278/2025</t>
  </si>
  <si>
    <t>SEI-120001/001192/2025</t>
  </si>
  <si>
    <t>SEI-120001/001111/2025</t>
  </si>
  <si>
    <t>SEI-120001/001270/2025</t>
  </si>
  <si>
    <t>2025NE00287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</si>
</sst>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(&quot;R$&quot;* #,##0.00_);_(&quot;R$&quot;* \(#,##0.00\);_(&quot;R$&quot;* &quot;-&quot;??_);_(@_)"/>
    <numFmt numFmtId="167" formatCode="#,##0.00_ ;[Red]\-#,##0.00\ "/>
    <numFmt numFmtId="168" formatCode="&quot;R$&quot;\ #,##0.00"/>
    <numFmt numFmtId="169" formatCode="0.000000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4"/>
      <color rgb="FF0070C0"/>
      <name val="Times New Roman"/>
      <family val="1"/>
    </font>
    <font>
      <b/>
      <sz val="14"/>
      <color rgb="FF0070C0"/>
      <name val="Times New Roman"/>
      <family val="1"/>
    </font>
    <font>
      <sz val="16"/>
      <name val="Arial"/>
      <family val="2"/>
    </font>
    <font>
      <sz val="9"/>
      <color indexed="81"/>
      <name val="Segoe UI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9"/>
      <color indexed="81"/>
      <name val="Segoe UI"/>
      <family val="2"/>
    </font>
    <font>
      <b/>
      <sz val="12"/>
      <color indexed="81"/>
      <name val="Segoe UI"/>
      <family val="2"/>
    </font>
    <font>
      <sz val="12"/>
      <color indexed="81"/>
      <name val="Segoe UI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0070C0"/>
      <name val="Arial"/>
      <family val="2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000000"/>
      <name val="Times New Roman"/>
      <family val="1"/>
    </font>
    <font>
      <sz val="10"/>
      <color rgb="FFFF0000"/>
      <name val="Times New Roman"/>
      <family val="1"/>
    </font>
    <font>
      <sz val="8"/>
      <color rgb="FF333333"/>
      <name val="Tahoma"/>
      <family val="2"/>
    </font>
    <font>
      <u/>
      <sz val="10"/>
      <name val="Arial"/>
      <family val="2"/>
    </font>
    <font>
      <sz val="8"/>
      <color rgb="FF333333"/>
      <name val="Verdana"/>
      <family val="2"/>
    </font>
    <font>
      <sz val="12"/>
      <color rgb="FFFF0000"/>
      <name val="Times New Roman"/>
      <family val="1"/>
    </font>
    <font>
      <sz val="8"/>
      <name val="Arial"/>
      <family val="2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0070C0"/>
      <name val="Times New Roman"/>
      <family val="1"/>
    </font>
    <font>
      <sz val="14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8"/>
      <name val="Times New Roman"/>
      <family val="1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color indexed="81"/>
      <name val="Segoe UI"/>
      <family val="2"/>
    </font>
    <font>
      <sz val="11"/>
      <color indexed="81"/>
      <name val="Segoe UI"/>
      <family val="2"/>
    </font>
    <font>
      <sz val="10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0">
    <xf numFmtId="0" fontId="0" fillId="0" borderId="0" applyFill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4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3"/>
    <xf numFmtId="0" fontId="2" fillId="0" borderId="0" xfId="3" applyAlignment="1">
      <alignment horizontal="center"/>
    </xf>
    <xf numFmtId="0" fontId="6" fillId="0" borderId="6" xfId="3" applyFont="1" applyBorder="1" applyAlignment="1">
      <alignment horizontal="left" indent="1"/>
    </xf>
    <xf numFmtId="164" fontId="7" fillId="0" borderId="6" xfId="3" applyNumberFormat="1" applyFont="1" applyBorder="1" applyAlignment="1">
      <alignment horizontal="center"/>
    </xf>
    <xf numFmtId="164" fontId="6" fillId="0" borderId="4" xfId="3" applyNumberFormat="1" applyFont="1" applyBorder="1" applyAlignment="1">
      <alignment horizontal="center"/>
    </xf>
    <xf numFmtId="164" fontId="8" fillId="0" borderId="0" xfId="5" applyFont="1" applyBorder="1"/>
    <xf numFmtId="164" fontId="7" fillId="0" borderId="2" xfId="5" applyFont="1" applyBorder="1" applyAlignment="1">
      <alignment horizontal="center"/>
    </xf>
    <xf numFmtId="0" fontId="6" fillId="0" borderId="0" xfId="3" applyFont="1" applyAlignment="1">
      <alignment horizontal="left" indent="1"/>
    </xf>
    <xf numFmtId="165" fontId="4" fillId="0" borderId="2" xfId="3" applyNumberFormat="1" applyFont="1" applyBorder="1"/>
    <xf numFmtId="164" fontId="8" fillId="0" borderId="4" xfId="5" applyFont="1" applyBorder="1"/>
    <xf numFmtId="0" fontId="8" fillId="0" borderId="9" xfId="3" applyFont="1" applyBorder="1" applyAlignment="1">
      <alignment horizontal="left" indent="1"/>
    </xf>
    <xf numFmtId="164" fontId="8" fillId="0" borderId="6" xfId="5" applyFont="1" applyBorder="1"/>
    <xf numFmtId="164" fontId="9" fillId="0" borderId="0" xfId="1" applyFont="1"/>
    <xf numFmtId="4" fontId="4" fillId="0" borderId="0" xfId="3" applyNumberFormat="1" applyFont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164" fontId="4" fillId="0" borderId="0" xfId="1" applyFont="1" applyFill="1" applyBorder="1" applyAlignment="1">
      <alignment horizontal="right"/>
    </xf>
    <xf numFmtId="164" fontId="6" fillId="0" borderId="0" xfId="1" applyFont="1" applyFill="1" applyBorder="1" applyAlignment="1">
      <alignment horizontal="right"/>
    </xf>
    <xf numFmtId="49" fontId="4" fillId="0" borderId="6" xfId="1" applyNumberFormat="1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164" fontId="6" fillId="0" borderId="0" xfId="3" quotePrefix="1" applyNumberFormat="1" applyFont="1"/>
    <xf numFmtId="165" fontId="4" fillId="0" borderId="8" xfId="3" applyNumberFormat="1" applyFont="1" applyBorder="1"/>
    <xf numFmtId="164" fontId="11" fillId="0" borderId="6" xfId="5" applyFont="1" applyBorder="1"/>
    <xf numFmtId="0" fontId="6" fillId="0" borderId="14" xfId="3" applyFont="1" applyBorder="1" applyAlignment="1">
      <alignment horizontal="left" indent="1"/>
    </xf>
    <xf numFmtId="4" fontId="6" fillId="0" borderId="0" xfId="3" applyNumberFormat="1" applyFont="1" applyAlignment="1">
      <alignment horizontal="left" indent="1"/>
    </xf>
    <xf numFmtId="4" fontId="6" fillId="0" borderId="0" xfId="3" applyNumberFormat="1" applyFont="1"/>
    <xf numFmtId="164" fontId="6" fillId="0" borderId="0" xfId="3" applyNumberFormat="1" applyFont="1"/>
    <xf numFmtId="0" fontId="6" fillId="0" borderId="0" xfId="3" applyFont="1"/>
    <xf numFmtId="2" fontId="6" fillId="0" borderId="0" xfId="3" applyNumberFormat="1" applyFont="1"/>
    <xf numFmtId="0" fontId="7" fillId="0" borderId="0" xfId="0" applyFont="1" applyFill="1" applyAlignment="1">
      <alignment horizontal="left" vertical="center"/>
    </xf>
    <xf numFmtId="165" fontId="8" fillId="0" borderId="0" xfId="2" applyNumberFormat="1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left" indent="1"/>
      <protection locked="0"/>
    </xf>
    <xf numFmtId="0" fontId="8" fillId="0" borderId="6" xfId="0" applyFont="1" applyBorder="1" applyAlignment="1" applyProtection="1">
      <alignment horizontal="left" indent="1"/>
      <protection locked="0"/>
    </xf>
    <xf numFmtId="164" fontId="7" fillId="0" borderId="4" xfId="3" applyNumberFormat="1" applyFont="1" applyBorder="1" applyAlignment="1">
      <alignment horizontal="center"/>
    </xf>
    <xf numFmtId="164" fontId="4" fillId="0" borderId="2" xfId="3" applyNumberFormat="1" applyFont="1" applyBorder="1" applyAlignment="1">
      <alignment horizontal="center"/>
    </xf>
    <xf numFmtId="165" fontId="4" fillId="0" borderId="2" xfId="3" applyNumberFormat="1" applyFont="1" applyBorder="1" applyAlignment="1">
      <alignment horizontal="right" vertical="center"/>
    </xf>
    <xf numFmtId="164" fontId="8" fillId="0" borderId="6" xfId="3" applyNumberFormat="1" applyFont="1" applyBorder="1" applyAlignment="1">
      <alignment horizontal="center"/>
    </xf>
    <xf numFmtId="0" fontId="15" fillId="0" borderId="0" xfId="0" applyFont="1"/>
    <xf numFmtId="164" fontId="8" fillId="0" borderId="4" xfId="3" applyNumberFormat="1" applyFont="1" applyBorder="1" applyAlignment="1">
      <alignment horizontal="center"/>
    </xf>
    <xf numFmtId="0" fontId="8" fillId="0" borderId="6" xfId="3" applyFont="1" applyBorder="1" applyAlignment="1">
      <alignment horizontal="left" indent="1"/>
    </xf>
    <xf numFmtId="0" fontId="8" fillId="0" borderId="4" xfId="3" applyFont="1" applyBorder="1" applyAlignment="1">
      <alignment horizontal="left" indent="1"/>
    </xf>
    <xf numFmtId="43" fontId="0" fillId="0" borderId="0" xfId="0" applyNumberFormat="1"/>
    <xf numFmtId="0" fontId="16" fillId="0" borderId="0" xfId="0" applyFont="1"/>
    <xf numFmtId="0" fontId="0" fillId="0" borderId="6" xfId="0" applyBorder="1"/>
    <xf numFmtId="0" fontId="0" fillId="0" borderId="4" xfId="0" applyBorder="1"/>
    <xf numFmtId="43" fontId="10" fillId="0" borderId="0" xfId="0" applyNumberFormat="1" applyFont="1"/>
    <xf numFmtId="164" fontId="11" fillId="0" borderId="4" xfId="5" applyFont="1" applyBorder="1"/>
    <xf numFmtId="49" fontId="6" fillId="0" borderId="6" xfId="1" applyNumberFormat="1" applyFont="1" applyFill="1" applyBorder="1" applyAlignment="1">
      <alignment horizontal="center"/>
    </xf>
    <xf numFmtId="164" fontId="10" fillId="0" borderId="0" xfId="1" applyFont="1"/>
    <xf numFmtId="164" fontId="12" fillId="0" borderId="6" xfId="3" applyNumberFormat="1" applyFont="1" applyBorder="1" applyAlignment="1">
      <alignment horizontal="center"/>
    </xf>
    <xf numFmtId="164" fontId="11" fillId="0" borderId="4" xfId="3" applyNumberFormat="1" applyFont="1" applyBorder="1" applyAlignment="1">
      <alignment horizontal="center"/>
    </xf>
    <xf numFmtId="0" fontId="15" fillId="0" borderId="10" xfId="0" applyFont="1" applyBorder="1"/>
    <xf numFmtId="164" fontId="0" fillId="0" borderId="0" xfId="1" applyFont="1"/>
    <xf numFmtId="49" fontId="6" fillId="0" borderId="4" xfId="1" applyNumberFormat="1" applyFont="1" applyFill="1" applyBorder="1" applyAlignment="1">
      <alignment horizontal="center"/>
    </xf>
    <xf numFmtId="0" fontId="15" fillId="0" borderId="4" xfId="0" applyFont="1" applyBorder="1"/>
    <xf numFmtId="164" fontId="7" fillId="0" borderId="0" xfId="5" applyFont="1" applyBorder="1" applyAlignment="1">
      <alignment horizontal="center"/>
    </xf>
    <xf numFmtId="43" fontId="15" fillId="0" borderId="0" xfId="0" applyNumberFormat="1" applyFont="1"/>
    <xf numFmtId="164" fontId="12" fillId="0" borderId="4" xfId="5" applyFont="1" applyFill="1" applyBorder="1"/>
    <xf numFmtId="4" fontId="4" fillId="6" borderId="2" xfId="3" applyNumberFormat="1" applyFont="1" applyFill="1" applyBorder="1" applyAlignment="1">
      <alignment horizontal="center" vertical="center"/>
    </xf>
    <xf numFmtId="164" fontId="4" fillId="6" borderId="2" xfId="3" applyNumberFormat="1" applyFont="1" applyFill="1" applyBorder="1" applyAlignment="1">
      <alignment horizontal="center" vertical="center"/>
    </xf>
    <xf numFmtId="164" fontId="4" fillId="6" borderId="8" xfId="3" applyNumberFormat="1" applyFont="1" applyFill="1" applyBorder="1" applyAlignment="1">
      <alignment horizontal="center" vertical="center"/>
    </xf>
    <xf numFmtId="164" fontId="8" fillId="0" borderId="19" xfId="1" applyFont="1" applyBorder="1" applyAlignment="1">
      <alignment horizontal="right"/>
    </xf>
    <xf numFmtId="164" fontId="8" fillId="0" borderId="22" xfId="1" applyFont="1" applyBorder="1" applyAlignment="1">
      <alignment horizontal="right"/>
    </xf>
    <xf numFmtId="4" fontId="4" fillId="0" borderId="6" xfId="3" applyNumberFormat="1" applyFont="1" applyBorder="1" applyAlignment="1">
      <alignment horizontal="center" vertical="center"/>
    </xf>
    <xf numFmtId="164" fontId="4" fillId="0" borderId="6" xfId="3" applyNumberFormat="1" applyFont="1" applyBorder="1" applyAlignment="1">
      <alignment horizontal="center" vertical="center"/>
    </xf>
    <xf numFmtId="0" fontId="6" fillId="0" borderId="6" xfId="3" applyFont="1" applyBorder="1" applyAlignment="1">
      <alignment horizontal="left" vertical="center" wrapText="1" indent="1"/>
    </xf>
    <xf numFmtId="0" fontId="6" fillId="0" borderId="4" xfId="3" applyFont="1" applyBorder="1" applyAlignment="1">
      <alignment horizontal="left" vertical="center" wrapText="1" indent="1"/>
    </xf>
    <xf numFmtId="4" fontId="4" fillId="0" borderId="4" xfId="3" applyNumberFormat="1" applyFont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/>
    </xf>
    <xf numFmtId="164" fontId="4" fillId="0" borderId="4" xfId="3" applyNumberFormat="1" applyFont="1" applyBorder="1" applyAlignment="1">
      <alignment horizontal="center" vertical="center"/>
    </xf>
    <xf numFmtId="165" fontId="4" fillId="0" borderId="0" xfId="3" applyNumberFormat="1" applyFont="1"/>
    <xf numFmtId="0" fontId="4" fillId="6" borderId="2" xfId="3" applyFont="1" applyFill="1" applyBorder="1" applyAlignment="1">
      <alignment horizontal="left" vertical="center" wrapText="1"/>
    </xf>
    <xf numFmtId="49" fontId="4" fillId="6" borderId="7" xfId="1" applyNumberFormat="1" applyFont="1" applyFill="1" applyBorder="1" applyAlignment="1">
      <alignment horizontal="center" vertical="center"/>
    </xf>
    <xf numFmtId="49" fontId="4" fillId="6" borderId="2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4" fillId="0" borderId="4" xfId="3" applyNumberFormat="1" applyFont="1" applyBorder="1" applyAlignment="1">
      <alignment horizontal="center"/>
    </xf>
    <xf numFmtId="164" fontId="7" fillId="0" borderId="5" xfId="5" applyFont="1" applyBorder="1"/>
    <xf numFmtId="164" fontId="7" fillId="0" borderId="13" xfId="3" applyNumberFormat="1" applyFont="1" applyBorder="1"/>
    <xf numFmtId="0" fontId="8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5" fillId="0" borderId="0" xfId="0" applyFont="1"/>
    <xf numFmtId="164" fontId="22" fillId="0" borderId="6" xfId="1" applyFont="1" applyBorder="1" applyAlignment="1">
      <alignment horizontal="right"/>
    </xf>
    <xf numFmtId="164" fontId="22" fillId="0" borderId="15" xfId="1" applyFont="1" applyBorder="1" applyAlignment="1">
      <alignment horizontal="right"/>
    </xf>
    <xf numFmtId="0" fontId="18" fillId="0" borderId="9" xfId="0" applyFont="1" applyBorder="1"/>
    <xf numFmtId="49" fontId="18" fillId="0" borderId="9" xfId="0" applyNumberFormat="1" applyFont="1" applyBorder="1" applyAlignment="1">
      <alignment horizontal="right"/>
    </xf>
    <xf numFmtId="167" fontId="22" fillId="0" borderId="11" xfId="1" applyNumberFormat="1" applyFont="1" applyBorder="1" applyAlignment="1">
      <alignment horizontal="right"/>
    </xf>
    <xf numFmtId="167" fontId="22" fillId="0" borderId="11" xfId="1" applyNumberFormat="1" applyFont="1" applyFill="1" applyBorder="1" applyAlignment="1">
      <alignment horizontal="right"/>
    </xf>
    <xf numFmtId="0" fontId="8" fillId="0" borderId="4" xfId="3" applyFont="1" applyBorder="1" applyAlignment="1">
      <alignment horizontal="center"/>
    </xf>
    <xf numFmtId="0" fontId="8" fillId="0" borderId="4" xfId="3" applyFont="1" applyBorder="1" applyAlignment="1">
      <alignment horizontal="left" vertical="center"/>
    </xf>
    <xf numFmtId="164" fontId="11" fillId="0" borderId="4" xfId="5" applyFont="1" applyBorder="1" applyAlignment="1">
      <alignment vertical="center"/>
    </xf>
    <xf numFmtId="0" fontId="21" fillId="0" borderId="0" xfId="0" applyFont="1"/>
    <xf numFmtId="167" fontId="0" fillId="0" borderId="0" xfId="0" applyNumberFormat="1"/>
    <xf numFmtId="0" fontId="0" fillId="0" borderId="0" xfId="0" applyFill="1"/>
    <xf numFmtId="0" fontId="28" fillId="0" borderId="9" xfId="0" applyFont="1" applyBorder="1"/>
    <xf numFmtId="0" fontId="0" fillId="0" borderId="0" xfId="0" applyAlignment="1">
      <alignment horizontal="center" vertical="center"/>
    </xf>
    <xf numFmtId="164" fontId="28" fillId="0" borderId="4" xfId="1" applyFont="1" applyBorder="1"/>
    <xf numFmtId="43" fontId="5" fillId="0" borderId="0" xfId="0" applyNumberFormat="1" applyFont="1"/>
    <xf numFmtId="0" fontId="22" fillId="0" borderId="6" xfId="0" applyFont="1" applyBorder="1"/>
    <xf numFmtId="0" fontId="28" fillId="0" borderId="3" xfId="0" applyFont="1" applyBorder="1"/>
    <xf numFmtId="0" fontId="28" fillId="0" borderId="36" xfId="0" applyFont="1" applyBorder="1"/>
    <xf numFmtId="164" fontId="20" fillId="9" borderId="33" xfId="1" applyFont="1" applyFill="1" applyBorder="1"/>
    <xf numFmtId="0" fontId="20" fillId="9" borderId="32" xfId="0" applyFont="1" applyFill="1" applyBorder="1"/>
    <xf numFmtId="0" fontId="28" fillId="0" borderId="5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164" fontId="5" fillId="0" borderId="0" xfId="1" applyFont="1"/>
    <xf numFmtId="43" fontId="29" fillId="0" borderId="0" xfId="0" applyNumberFormat="1" applyFont="1"/>
    <xf numFmtId="0" fontId="18" fillId="0" borderId="9" xfId="0" applyFont="1" applyFill="1" applyBorder="1"/>
    <xf numFmtId="164" fontId="22" fillId="0" borderId="6" xfId="1" applyFont="1" applyFill="1" applyBorder="1" applyAlignment="1">
      <alignment horizontal="right"/>
    </xf>
    <xf numFmtId="164" fontId="22" fillId="0" borderId="15" xfId="1" applyFont="1" applyFill="1" applyBorder="1" applyAlignment="1">
      <alignment horizontal="right"/>
    </xf>
    <xf numFmtId="7" fontId="32" fillId="0" borderId="6" xfId="0" applyNumberFormat="1" applyFont="1" applyBorder="1" applyAlignment="1">
      <alignment horizontal="center" vertical="center"/>
    </xf>
    <xf numFmtId="168" fontId="32" fillId="0" borderId="6" xfId="0" applyNumberFormat="1" applyFont="1" applyBorder="1" applyAlignment="1">
      <alignment horizontal="center" vertical="center"/>
    </xf>
    <xf numFmtId="14" fontId="32" fillId="0" borderId="6" xfId="0" applyNumberFormat="1" applyFont="1" applyBorder="1" applyAlignment="1">
      <alignment horizontal="center" vertical="center"/>
    </xf>
    <xf numFmtId="2" fontId="17" fillId="7" borderId="4" xfId="0" applyNumberFormat="1" applyFont="1" applyFill="1" applyBorder="1" applyAlignment="1">
      <alignment horizontal="center" vertical="center"/>
    </xf>
    <xf numFmtId="7" fontId="17" fillId="7" borderId="4" xfId="0" applyNumberFormat="1" applyFont="1" applyFill="1" applyBorder="1" applyAlignment="1">
      <alignment horizontal="center" vertical="center"/>
    </xf>
    <xf numFmtId="44" fontId="17" fillId="7" borderId="4" xfId="0" applyNumberFormat="1" applyFont="1" applyFill="1" applyBorder="1" applyAlignment="1">
      <alignment horizontal="center" vertical="center"/>
    </xf>
    <xf numFmtId="168" fontId="33" fillId="7" borderId="4" xfId="0" applyNumberFormat="1" applyFont="1" applyFill="1" applyBorder="1" applyAlignment="1">
      <alignment horizontal="center" vertical="center"/>
    </xf>
    <xf numFmtId="168" fontId="23" fillId="7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2" fontId="17" fillId="10" borderId="4" xfId="0" applyNumberFormat="1" applyFont="1" applyFill="1" applyBorder="1" applyAlignment="1">
      <alignment horizontal="center" vertical="center"/>
    </xf>
    <xf numFmtId="7" fontId="17" fillId="10" borderId="4" xfId="0" applyNumberFormat="1" applyFont="1" applyFill="1" applyBorder="1" applyAlignment="1">
      <alignment horizontal="center" vertical="center"/>
    </xf>
    <xf numFmtId="44" fontId="17" fillId="10" borderId="4" xfId="0" applyNumberFormat="1" applyFont="1" applyFill="1" applyBorder="1" applyAlignment="1">
      <alignment horizontal="center" vertical="center"/>
    </xf>
    <xf numFmtId="168" fontId="33" fillId="10" borderId="4" xfId="0" applyNumberFormat="1" applyFont="1" applyFill="1" applyBorder="1" applyAlignment="1">
      <alignment horizontal="center" vertical="center"/>
    </xf>
    <xf numFmtId="168" fontId="23" fillId="10" borderId="4" xfId="0" applyNumberFormat="1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168" fontId="31" fillId="5" borderId="6" xfId="0" applyNumberFormat="1" applyFont="1" applyFill="1" applyBorder="1" applyAlignment="1">
      <alignment horizontal="center" vertical="center"/>
    </xf>
    <xf numFmtId="7" fontId="33" fillId="0" borderId="6" xfId="0" applyNumberFormat="1" applyFont="1" applyBorder="1" applyAlignment="1">
      <alignment horizontal="center" vertical="center"/>
    </xf>
    <xf numFmtId="168" fontId="33" fillId="0" borderId="6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2" fontId="17" fillId="5" borderId="6" xfId="0" applyNumberFormat="1" applyFont="1" applyFill="1" applyBorder="1" applyAlignment="1">
      <alignment horizontal="center" vertical="center"/>
    </xf>
    <xf numFmtId="7" fontId="17" fillId="5" borderId="6" xfId="0" applyNumberFormat="1" applyFont="1" applyFill="1" applyBorder="1" applyAlignment="1">
      <alignment horizontal="center" vertical="center"/>
    </xf>
    <xf numFmtId="44" fontId="17" fillId="5" borderId="6" xfId="0" applyNumberFormat="1" applyFont="1" applyFill="1" applyBorder="1" applyAlignment="1">
      <alignment horizontal="center" vertical="center"/>
    </xf>
    <xf numFmtId="168" fontId="33" fillId="5" borderId="6" xfId="0" applyNumberFormat="1" applyFont="1" applyFill="1" applyBorder="1" applyAlignment="1">
      <alignment horizontal="center" vertical="center"/>
    </xf>
    <xf numFmtId="168" fontId="23" fillId="5" borderId="6" xfId="0" applyNumberFormat="1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168" fontId="31" fillId="7" borderId="6" xfId="0" applyNumberFormat="1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horizontal="center" vertical="center"/>
    </xf>
    <xf numFmtId="168" fontId="31" fillId="10" borderId="6" xfId="0" applyNumberFormat="1" applyFont="1" applyFill="1" applyBorder="1" applyAlignment="1">
      <alignment horizontal="center" vertical="center"/>
    </xf>
    <xf numFmtId="2" fontId="17" fillId="3" borderId="6" xfId="0" applyNumberFormat="1" applyFont="1" applyFill="1" applyBorder="1" applyAlignment="1">
      <alignment horizontal="center" vertical="center"/>
    </xf>
    <xf numFmtId="7" fontId="17" fillId="3" borderId="6" xfId="0" applyNumberFormat="1" applyFont="1" applyFill="1" applyBorder="1" applyAlignment="1">
      <alignment horizontal="center" vertical="center"/>
    </xf>
    <xf numFmtId="44" fontId="17" fillId="3" borderId="6" xfId="0" applyNumberFormat="1" applyFont="1" applyFill="1" applyBorder="1" applyAlignment="1">
      <alignment horizontal="center" vertical="center"/>
    </xf>
    <xf numFmtId="168" fontId="33" fillId="3" borderId="6" xfId="0" applyNumberFormat="1" applyFont="1" applyFill="1" applyBorder="1" applyAlignment="1">
      <alignment horizontal="center" vertical="center"/>
    </xf>
    <xf numFmtId="168" fontId="23" fillId="3" borderId="6" xfId="0" applyNumberFormat="1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/>
    </xf>
    <xf numFmtId="0" fontId="20" fillId="9" borderId="8" xfId="0" applyFont="1" applyFill="1" applyBorder="1" applyAlignment="1">
      <alignment horizontal="center"/>
    </xf>
    <xf numFmtId="168" fontId="28" fillId="0" borderId="27" xfId="0" applyNumberFormat="1" applyFont="1" applyBorder="1"/>
    <xf numFmtId="168" fontId="28" fillId="0" borderId="41" xfId="0" applyNumberFormat="1" applyFont="1" applyBorder="1"/>
    <xf numFmtId="168" fontId="28" fillId="0" borderId="26" xfId="0" applyNumberFormat="1" applyFont="1" applyBorder="1"/>
    <xf numFmtId="168" fontId="20" fillId="9" borderId="35" xfId="0" applyNumberFormat="1" applyFont="1" applyFill="1" applyBorder="1"/>
    <xf numFmtId="0" fontId="20" fillId="9" borderId="34" xfId="0" applyFont="1" applyFill="1" applyBorder="1"/>
    <xf numFmtId="168" fontId="28" fillId="0" borderId="41" xfId="1" applyNumberFormat="1" applyFont="1" applyBorder="1"/>
    <xf numFmtId="168" fontId="0" fillId="0" borderId="0" xfId="0" applyNumberFormat="1"/>
    <xf numFmtId="0" fontId="22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/>
    </xf>
    <xf numFmtId="3" fontId="22" fillId="0" borderId="6" xfId="0" applyNumberFormat="1" applyFont="1" applyBorder="1" applyAlignment="1">
      <alignment horizontal="center" vertical="center"/>
    </xf>
    <xf numFmtId="4" fontId="22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" fontId="18" fillId="0" borderId="6" xfId="0" applyNumberFormat="1" applyFont="1" applyBorder="1" applyAlignment="1">
      <alignment horizontal="center"/>
    </xf>
    <xf numFmtId="0" fontId="20" fillId="11" borderId="4" xfId="0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164" fontId="28" fillId="0" borderId="27" xfId="1" applyFont="1" applyBorder="1" applyAlignment="1">
      <alignment horizontal="center" vertical="center"/>
    </xf>
    <xf numFmtId="164" fontId="28" fillId="0" borderId="4" xfId="1" applyFont="1" applyBorder="1" applyAlignment="1">
      <alignment horizontal="center" vertical="center"/>
    </xf>
    <xf numFmtId="164" fontId="28" fillId="0" borderId="5" xfId="1" applyFont="1" applyBorder="1" applyAlignment="1">
      <alignment horizontal="center" vertical="center"/>
    </xf>
    <xf numFmtId="164" fontId="28" fillId="0" borderId="41" xfId="1" applyFont="1" applyBorder="1" applyAlignment="1">
      <alignment horizontal="center" vertical="center"/>
    </xf>
    <xf numFmtId="164" fontId="28" fillId="0" borderId="6" xfId="1" applyFont="1" applyBorder="1" applyAlignment="1">
      <alignment horizontal="center" vertical="center"/>
    </xf>
    <xf numFmtId="164" fontId="28" fillId="0" borderId="11" xfId="1" applyFont="1" applyBorder="1" applyAlignment="1">
      <alignment horizontal="center" vertical="center"/>
    </xf>
    <xf numFmtId="164" fontId="28" fillId="0" borderId="26" xfId="1" applyFont="1" applyBorder="1" applyAlignment="1">
      <alignment horizontal="center" vertical="center"/>
    </xf>
    <xf numFmtId="164" fontId="28" fillId="0" borderId="37" xfId="1" applyFont="1" applyBorder="1" applyAlignment="1">
      <alignment horizontal="center" vertical="center"/>
    </xf>
    <xf numFmtId="164" fontId="28" fillId="0" borderId="38" xfId="1" applyFont="1" applyBorder="1" applyAlignment="1">
      <alignment horizontal="center" vertical="center"/>
    </xf>
    <xf numFmtId="164" fontId="20" fillId="0" borderId="42" xfId="1" applyFont="1" applyBorder="1" applyAlignment="1">
      <alignment horizontal="center" vertical="center"/>
    </xf>
    <xf numFmtId="0" fontId="22" fillId="0" borderId="9" xfId="0" applyFont="1" applyBorder="1" applyAlignment="1">
      <alignment horizontal="right"/>
    </xf>
    <xf numFmtId="164" fontId="22" fillId="0" borderId="11" xfId="1" applyFont="1" applyBorder="1"/>
    <xf numFmtId="164" fontId="18" fillId="0" borderId="40" xfId="1" applyFont="1" applyBorder="1"/>
    <xf numFmtId="0" fontId="20" fillId="12" borderId="3" xfId="0" applyFont="1" applyFill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20" fillId="12" borderId="5" xfId="0" applyFont="1" applyFill="1" applyBorder="1" applyAlignment="1">
      <alignment horizontal="center" vertical="center"/>
    </xf>
    <xf numFmtId="164" fontId="20" fillId="0" borderId="45" xfId="1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3" fontId="22" fillId="0" borderId="37" xfId="0" applyNumberFormat="1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/>
    </xf>
    <xf numFmtId="0" fontId="22" fillId="0" borderId="2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37" fillId="0" borderId="0" xfId="0" applyFont="1"/>
    <xf numFmtId="4" fontId="0" fillId="0" borderId="0" xfId="0" applyNumberFormat="1"/>
    <xf numFmtId="4" fontId="36" fillId="0" borderId="0" xfId="0" applyNumberFormat="1" applyFont="1"/>
    <xf numFmtId="4" fontId="38" fillId="0" borderId="0" xfId="0" applyNumberFormat="1" applyFont="1"/>
    <xf numFmtId="0" fontId="22" fillId="0" borderId="26" xfId="0" applyFont="1" applyBorder="1" applyAlignment="1">
      <alignment horizontal="center" vertical="center"/>
    </xf>
    <xf numFmtId="164" fontId="28" fillId="0" borderId="49" xfId="1" applyFont="1" applyBorder="1" applyAlignment="1">
      <alignment horizontal="center" vertical="center"/>
    </xf>
    <xf numFmtId="0" fontId="20" fillId="13" borderId="31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20" fillId="13" borderId="39" xfId="0" applyFont="1" applyFill="1" applyBorder="1" applyAlignment="1">
      <alignment horizontal="center" vertical="center"/>
    </xf>
    <xf numFmtId="0" fontId="20" fillId="13" borderId="40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169" fontId="0" fillId="0" borderId="0" xfId="0" applyNumberFormat="1"/>
    <xf numFmtId="43" fontId="15" fillId="0" borderId="0" xfId="0" applyNumberFormat="1" applyFont="1" applyAlignment="1">
      <alignment vertical="center"/>
    </xf>
    <xf numFmtId="164" fontId="28" fillId="0" borderId="50" xfId="1" applyFont="1" applyBorder="1" applyAlignment="1">
      <alignment horizontal="center" vertical="center"/>
    </xf>
    <xf numFmtId="164" fontId="28" fillId="0" borderId="2" xfId="1" applyFont="1" applyBorder="1" applyAlignment="1">
      <alignment horizontal="center" vertical="center"/>
    </xf>
    <xf numFmtId="164" fontId="10" fillId="0" borderId="0" xfId="0" applyNumberFormat="1" applyFont="1"/>
    <xf numFmtId="0" fontId="20" fillId="12" borderId="2" xfId="0" applyFont="1" applyFill="1" applyBorder="1" applyAlignment="1">
      <alignment horizontal="center"/>
    </xf>
    <xf numFmtId="0" fontId="20" fillId="12" borderId="8" xfId="0" applyFont="1" applyFill="1" applyBorder="1" applyAlignment="1">
      <alignment horizontal="center"/>
    </xf>
    <xf numFmtId="0" fontId="20" fillId="12" borderId="32" xfId="0" applyFont="1" applyFill="1" applyBorder="1"/>
    <xf numFmtId="168" fontId="20" fillId="12" borderId="35" xfId="0" applyNumberFormat="1" applyFont="1" applyFill="1" applyBorder="1"/>
    <xf numFmtId="164" fontId="20" fillId="12" borderId="33" xfId="1" applyFont="1" applyFill="1" applyBorder="1"/>
    <xf numFmtId="0" fontId="20" fillId="12" borderId="34" xfId="0" applyFont="1" applyFill="1" applyBorder="1"/>
    <xf numFmtId="0" fontId="28" fillId="0" borderId="9" xfId="0" applyFont="1" applyBorder="1" applyAlignment="1">
      <alignment vertical="center"/>
    </xf>
    <xf numFmtId="168" fontId="28" fillId="0" borderId="41" xfId="0" applyNumberFormat="1" applyFont="1" applyBorder="1" applyAlignment="1">
      <alignment vertical="center"/>
    </xf>
    <xf numFmtId="164" fontId="28" fillId="0" borderId="4" xfId="1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168" fontId="28" fillId="0" borderId="27" xfId="0" applyNumberFormat="1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168" fontId="28" fillId="0" borderId="41" xfId="1" applyNumberFormat="1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168" fontId="28" fillId="0" borderId="26" xfId="0" applyNumberFormat="1" applyFont="1" applyBorder="1" applyAlignment="1">
      <alignment vertical="center"/>
    </xf>
    <xf numFmtId="0" fontId="28" fillId="0" borderId="3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/>
    <xf numFmtId="4" fontId="35" fillId="0" borderId="46" xfId="0" applyNumberFormat="1" applyFont="1" applyBorder="1" applyAlignment="1">
      <alignment vertical="center" wrapText="1"/>
    </xf>
    <xf numFmtId="0" fontId="15" fillId="0" borderId="51" xfId="0" applyFont="1" applyBorder="1"/>
    <xf numFmtId="0" fontId="8" fillId="0" borderId="9" xfId="0" applyFont="1" applyFill="1" applyBorder="1" applyAlignment="1" applyProtection="1">
      <alignment horizontal="left" indent="1"/>
      <protection locked="0"/>
    </xf>
    <xf numFmtId="0" fontId="8" fillId="0" borderId="9" xfId="0" applyFont="1" applyFill="1" applyBorder="1" applyAlignment="1" applyProtection="1">
      <alignment horizontal="left" wrapText="1" indent="1"/>
      <protection locked="0"/>
    </xf>
    <xf numFmtId="164" fontId="8" fillId="0" borderId="4" xfId="5" applyFont="1" applyFill="1" applyBorder="1"/>
    <xf numFmtId="164" fontId="8" fillId="0" borderId="6" xfId="5" applyFont="1" applyFill="1" applyBorder="1"/>
    <xf numFmtId="0" fontId="41" fillId="4" borderId="2" xfId="3" applyFont="1" applyFill="1" applyBorder="1" applyAlignment="1">
      <alignment horizontal="center" vertical="center"/>
    </xf>
    <xf numFmtId="0" fontId="41" fillId="4" borderId="2" xfId="3" applyFont="1" applyFill="1" applyBorder="1" applyAlignment="1">
      <alignment horizontal="center" vertical="center" wrapText="1"/>
    </xf>
    <xf numFmtId="0" fontId="42" fillId="15" borderId="51" xfId="0" applyFont="1" applyFill="1" applyBorder="1" applyAlignment="1">
      <alignment horizontal="center" vertical="center"/>
    </xf>
    <xf numFmtId="164" fontId="28" fillId="0" borderId="51" xfId="1" applyFont="1" applyBorder="1"/>
    <xf numFmtId="164" fontId="28" fillId="0" borderId="0" xfId="1" applyFont="1"/>
    <xf numFmtId="0" fontId="41" fillId="4" borderId="25" xfId="3" applyFont="1" applyFill="1" applyBorder="1" applyAlignment="1">
      <alignment horizontal="center" vertical="center"/>
    </xf>
    <xf numFmtId="0" fontId="28" fillId="13" borderId="0" xfId="0" applyFont="1" applyFill="1"/>
    <xf numFmtId="0" fontId="42" fillId="15" borderId="4" xfId="0" applyFont="1" applyFill="1" applyBorder="1" applyAlignment="1">
      <alignment horizontal="center" vertical="center"/>
    </xf>
    <xf numFmtId="164" fontId="8" fillId="0" borderId="4" xfId="3" applyNumberFormat="1" applyFont="1" applyBorder="1" applyAlignment="1">
      <alignment horizontal="center" vertical="center"/>
    </xf>
    <xf numFmtId="164" fontId="7" fillId="0" borderId="5" xfId="3" applyNumberFormat="1" applyFont="1" applyBorder="1"/>
    <xf numFmtId="0" fontId="5" fillId="0" borderId="0" xfId="0" applyFont="1" applyFill="1"/>
    <xf numFmtId="0" fontId="10" fillId="0" borderId="0" xfId="0" applyFont="1" applyFill="1"/>
    <xf numFmtId="164" fontId="8" fillId="0" borderId="6" xfId="5" applyFont="1" applyFill="1" applyBorder="1" applyAlignment="1">
      <alignment vertical="center"/>
    </xf>
    <xf numFmtId="164" fontId="7" fillId="0" borderId="4" xfId="5" applyFont="1" applyFill="1" applyBorder="1"/>
    <xf numFmtId="164" fontId="11" fillId="0" borderId="4" xfId="5" applyFont="1" applyFill="1" applyBorder="1"/>
    <xf numFmtId="164" fontId="8" fillId="0" borderId="4" xfId="5" applyFont="1" applyFill="1" applyBorder="1" applyAlignment="1">
      <alignment vertical="center"/>
    </xf>
    <xf numFmtId="0" fontId="0" fillId="0" borderId="51" xfId="0" applyFill="1" applyBorder="1"/>
    <xf numFmtId="14" fontId="22" fillId="0" borderId="6" xfId="0" applyNumberFormat="1" applyFont="1" applyBorder="1" applyAlignment="1">
      <alignment horizontal="center"/>
    </xf>
    <xf numFmtId="0" fontId="22" fillId="0" borderId="52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/>
    </xf>
    <xf numFmtId="4" fontId="22" fillId="0" borderId="51" xfId="0" applyNumberFormat="1" applyFont="1" applyBorder="1" applyAlignment="1">
      <alignment horizontal="center" vertical="center"/>
    </xf>
    <xf numFmtId="4" fontId="35" fillId="0" borderId="0" xfId="0" applyNumberFormat="1" applyFont="1" applyAlignment="1">
      <alignment vertical="center" wrapText="1"/>
    </xf>
    <xf numFmtId="0" fontId="39" fillId="0" borderId="11" xfId="0" applyFont="1" applyBorder="1" applyAlignment="1">
      <alignment horizontal="center" vertical="center" wrapText="1"/>
    </xf>
    <xf numFmtId="164" fontId="0" fillId="0" borderId="0" xfId="1" applyFont="1" applyFill="1"/>
    <xf numFmtId="164" fontId="7" fillId="3" borderId="4" xfId="5" applyFont="1" applyFill="1" applyBorder="1"/>
    <xf numFmtId="164" fontId="8" fillId="3" borderId="4" xfId="5" applyFont="1" applyFill="1" applyBorder="1"/>
    <xf numFmtId="164" fontId="12" fillId="3" borderId="4" xfId="5" applyFont="1" applyFill="1" applyBorder="1"/>
    <xf numFmtId="0" fontId="0" fillId="0" borderId="0" xfId="0" applyFill="1" applyAlignment="1">
      <alignment vertical="center"/>
    </xf>
    <xf numFmtId="0" fontId="16" fillId="0" borderId="0" xfId="0" applyFont="1" applyFill="1"/>
    <xf numFmtId="14" fontId="32" fillId="0" borderId="6" xfId="0" applyNumberFormat="1" applyFont="1" applyFill="1" applyBorder="1" applyAlignment="1">
      <alignment horizontal="center" vertical="center"/>
    </xf>
    <xf numFmtId="168" fontId="32" fillId="0" borderId="6" xfId="0" applyNumberFormat="1" applyFont="1" applyFill="1" applyBorder="1" applyAlignment="1">
      <alignment horizontal="center" vertical="center"/>
    </xf>
    <xf numFmtId="164" fontId="8" fillId="0" borderId="6" xfId="5" applyFont="1" applyFill="1" applyBorder="1" applyAlignment="1">
      <alignment horizontal="center" vertical="center"/>
    </xf>
    <xf numFmtId="164" fontId="8" fillId="0" borderId="6" xfId="5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4" fontId="34" fillId="0" borderId="0" xfId="0" applyNumberFormat="1" applyFont="1" applyFill="1"/>
    <xf numFmtId="0" fontId="6" fillId="0" borderId="9" xfId="3" applyFont="1" applyBorder="1" applyAlignment="1">
      <alignment horizontal="left" indent="1"/>
    </xf>
    <xf numFmtId="4" fontId="4" fillId="0" borderId="6" xfId="3" applyNumberFormat="1" applyFont="1" applyBorder="1" applyAlignment="1">
      <alignment horizontal="center"/>
    </xf>
    <xf numFmtId="4" fontId="7" fillId="0" borderId="10" xfId="3" applyNumberFormat="1" applyFont="1" applyBorder="1" applyAlignment="1">
      <alignment horizontal="center"/>
    </xf>
    <xf numFmtId="49" fontId="7" fillId="0" borderId="6" xfId="1" applyNumberFormat="1" applyFont="1" applyFill="1" applyBorder="1" applyAlignment="1">
      <alignment horizontal="center"/>
    </xf>
    <xf numFmtId="49" fontId="8" fillId="0" borderId="4" xfId="1" applyNumberFormat="1" applyFont="1" applyFill="1" applyBorder="1" applyAlignment="1">
      <alignment horizontal="center"/>
    </xf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31" fillId="3" borderId="6" xfId="0" applyFont="1" applyFill="1" applyBorder="1" applyAlignment="1">
      <alignment horizontal="center" vertical="center"/>
    </xf>
    <xf numFmtId="168" fontId="31" fillId="3" borderId="6" xfId="0" applyNumberFormat="1" applyFont="1" applyFill="1" applyBorder="1" applyAlignment="1">
      <alignment horizontal="center" vertical="center"/>
    </xf>
    <xf numFmtId="14" fontId="22" fillId="0" borderId="51" xfId="0" applyNumberFormat="1" applyFont="1" applyBorder="1" applyAlignment="1">
      <alignment horizontal="center"/>
    </xf>
    <xf numFmtId="0" fontId="22" fillId="0" borderId="51" xfId="0" applyFont="1" applyBorder="1" applyAlignment="1">
      <alignment horizontal="center" vertical="center"/>
    </xf>
    <xf numFmtId="164" fontId="28" fillId="0" borderId="4" xfId="1" applyFont="1" applyFill="1" applyBorder="1" applyAlignment="1">
      <alignment vertical="center"/>
    </xf>
    <xf numFmtId="0" fontId="0" fillId="0" borderId="51" xfId="0" applyBorder="1"/>
    <xf numFmtId="164" fontId="4" fillId="0" borderId="53" xfId="3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2" fillId="0" borderId="6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22" fillId="0" borderId="54" xfId="0" applyFont="1" applyBorder="1" applyAlignment="1">
      <alignment horizontal="right"/>
    </xf>
    <xf numFmtId="0" fontId="22" fillId="0" borderId="51" xfId="0" applyFont="1" applyBorder="1"/>
    <xf numFmtId="164" fontId="22" fillId="0" borderId="55" xfId="1" applyFont="1" applyBorder="1"/>
    <xf numFmtId="0" fontId="22" fillId="0" borderId="6" xfId="0" applyFont="1" applyBorder="1" applyAlignment="1">
      <alignment vertical="center"/>
    </xf>
    <xf numFmtId="164" fontId="28" fillId="0" borderId="51" xfId="1" applyFont="1" applyBorder="1" applyAlignment="1">
      <alignment horizontal="center" vertical="center"/>
    </xf>
    <xf numFmtId="168" fontId="28" fillId="0" borderId="27" xfId="0" applyNumberFormat="1" applyFont="1" applyFill="1" applyBorder="1" applyAlignment="1">
      <alignment vertical="center"/>
    </xf>
    <xf numFmtId="168" fontId="28" fillId="0" borderId="41" xfId="0" applyNumberFormat="1" applyFont="1" applyFill="1" applyBorder="1" applyAlignment="1">
      <alignment vertical="center"/>
    </xf>
    <xf numFmtId="4" fontId="35" fillId="0" borderId="0" xfId="0" applyNumberFormat="1" applyFont="1" applyAlignment="1">
      <alignment horizontal="center" vertical="center" wrapText="1"/>
    </xf>
    <xf numFmtId="14" fontId="22" fillId="0" borderId="5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8" fillId="0" borderId="6" xfId="1" applyFont="1" applyBorder="1"/>
    <xf numFmtId="0" fontId="22" fillId="0" borderId="51" xfId="0" applyFont="1" applyBorder="1" applyAlignment="1">
      <alignment vertical="center"/>
    </xf>
    <xf numFmtId="0" fontId="22" fillId="0" borderId="51" xfId="0" applyFont="1" applyBorder="1" applyAlignment="1">
      <alignment horizontal="center" vertical="center" wrapText="1"/>
    </xf>
    <xf numFmtId="0" fontId="22" fillId="0" borderId="0" xfId="0" applyFont="1"/>
    <xf numFmtId="0" fontId="28" fillId="0" borderId="0" xfId="0" applyFont="1" applyAlignment="1">
      <alignment vertical="center"/>
    </xf>
    <xf numFmtId="4" fontId="0" fillId="0" borderId="0" xfId="0" applyNumberFormat="1" applyFill="1"/>
    <xf numFmtId="43" fontId="10" fillId="0" borderId="0" xfId="0" applyNumberFormat="1" applyFont="1" applyFill="1"/>
    <xf numFmtId="164" fontId="7" fillId="0" borderId="4" xfId="5" applyFont="1" applyBorder="1"/>
    <xf numFmtId="0" fontId="28" fillId="0" borderId="51" xfId="0" applyFont="1" applyBorder="1" applyAlignment="1">
      <alignment horizontal="center" vertical="center"/>
    </xf>
    <xf numFmtId="0" fontId="28" fillId="0" borderId="53" xfId="0" applyFont="1" applyBorder="1"/>
    <xf numFmtId="164" fontId="11" fillId="0" borderId="51" xfId="3" applyNumberFormat="1" applyFont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43" fontId="28" fillId="0" borderId="51" xfId="2" applyNumberFormat="1" applyFont="1" applyBorder="1"/>
    <xf numFmtId="164" fontId="7" fillId="0" borderId="6" xfId="3" applyNumberFormat="1" applyFont="1" applyBorder="1" applyAlignment="1">
      <alignment horizontal="center" vertical="center"/>
    </xf>
    <xf numFmtId="164" fontId="8" fillId="0" borderId="6" xfId="3" applyNumberFormat="1" applyFont="1" applyBorder="1" applyAlignment="1">
      <alignment horizontal="center" vertical="center"/>
    </xf>
    <xf numFmtId="164" fontId="8" fillId="0" borderId="53" xfId="3" applyNumberFormat="1" applyFont="1" applyBorder="1" applyAlignment="1">
      <alignment horizontal="center" vertical="center"/>
    </xf>
    <xf numFmtId="164" fontId="8" fillId="0" borderId="27" xfId="3" applyNumberFormat="1" applyFont="1" applyBorder="1" applyAlignment="1">
      <alignment horizontal="center"/>
    </xf>
    <xf numFmtId="164" fontId="28" fillId="0" borderId="51" xfId="1" applyFont="1" applyBorder="1" applyAlignment="1">
      <alignment horizontal="center" vertical="center" wrapText="1"/>
    </xf>
    <xf numFmtId="164" fontId="28" fillId="0" borderId="0" xfId="1" applyFont="1" applyAlignment="1">
      <alignment vertical="center"/>
    </xf>
    <xf numFmtId="164" fontId="44" fillId="0" borderId="0" xfId="1" applyFont="1"/>
    <xf numFmtId="4" fontId="21" fillId="0" borderId="0" xfId="0" applyNumberFormat="1" applyFont="1" applyFill="1"/>
    <xf numFmtId="4" fontId="45" fillId="0" borderId="0" xfId="0" applyNumberFormat="1" applyFont="1" applyFill="1"/>
    <xf numFmtId="0" fontId="45" fillId="0" borderId="0" xfId="0" applyFont="1"/>
    <xf numFmtId="43" fontId="21" fillId="0" borderId="0" xfId="0" applyNumberFormat="1" applyFont="1"/>
    <xf numFmtId="43" fontId="28" fillId="0" borderId="0" xfId="2" applyNumberFormat="1" applyFont="1" applyBorder="1"/>
    <xf numFmtId="43" fontId="28" fillId="0" borderId="4" xfId="2" applyNumberFormat="1" applyFont="1" applyBorder="1"/>
    <xf numFmtId="43" fontId="31" fillId="5" borderId="58" xfId="2" applyNumberFormat="1" applyFont="1" applyFill="1" applyBorder="1" applyAlignment="1">
      <alignment horizontal="center" vertical="center"/>
    </xf>
    <xf numFmtId="43" fontId="31" fillId="5" borderId="60" xfId="2" applyNumberFormat="1" applyFont="1" applyFill="1" applyBorder="1" applyAlignment="1">
      <alignment horizontal="center" vertical="center"/>
    </xf>
    <xf numFmtId="0" fontId="15" fillId="0" borderId="6" xfId="0" applyFont="1" applyFill="1" applyBorder="1"/>
    <xf numFmtId="0" fontId="8" fillId="0" borderId="4" xfId="0" applyFont="1" applyBorder="1" applyAlignment="1" applyProtection="1">
      <alignment horizontal="center" vertical="center"/>
      <protection locked="0"/>
    </xf>
    <xf numFmtId="164" fontId="22" fillId="0" borderId="51" xfId="1" applyFont="1" applyBorder="1" applyAlignment="1">
      <alignment horizontal="center" vertical="center"/>
    </xf>
    <xf numFmtId="0" fontId="22" fillId="0" borderId="51" xfId="0" applyFont="1" applyBorder="1" applyAlignment="1">
      <alignment horizontal="left" vertical="center" wrapText="1"/>
    </xf>
    <xf numFmtId="164" fontId="22" fillId="0" borderId="51" xfId="1" applyFont="1" applyFill="1" applyBorder="1" applyAlignment="1">
      <alignment horizontal="center" vertical="center"/>
    </xf>
    <xf numFmtId="43" fontId="41" fillId="4" borderId="27" xfId="2" applyNumberFormat="1" applyFont="1" applyFill="1" applyBorder="1" applyAlignment="1">
      <alignment horizontal="center" vertical="center"/>
    </xf>
    <xf numFmtId="43" fontId="41" fillId="4" borderId="4" xfId="2" applyNumberFormat="1" applyFont="1" applyFill="1" applyBorder="1" applyAlignment="1">
      <alignment horizontal="center" vertical="center"/>
    </xf>
    <xf numFmtId="43" fontId="41" fillId="4" borderId="5" xfId="2" applyNumberFormat="1" applyFont="1" applyFill="1" applyBorder="1" applyAlignment="1">
      <alignment horizontal="center" vertical="center" wrapText="1"/>
    </xf>
    <xf numFmtId="0" fontId="41" fillId="4" borderId="4" xfId="2" applyNumberFormat="1" applyFont="1" applyFill="1" applyBorder="1" applyAlignment="1">
      <alignment horizontal="center" vertical="center"/>
    </xf>
    <xf numFmtId="164" fontId="41" fillId="16" borderId="2" xfId="1" applyFont="1" applyFill="1" applyBorder="1" applyAlignment="1">
      <alignment horizontal="center" vertical="center"/>
    </xf>
    <xf numFmtId="0" fontId="41" fillId="16" borderId="2" xfId="3" applyFont="1" applyFill="1" applyBorder="1" applyAlignment="1">
      <alignment horizontal="center" vertical="center" wrapText="1"/>
    </xf>
    <xf numFmtId="164" fontId="31" fillId="0" borderId="2" xfId="1" applyFont="1" applyFill="1" applyBorder="1" applyAlignment="1">
      <alignment horizontal="center" vertical="center"/>
    </xf>
    <xf numFmtId="164" fontId="31" fillId="0" borderId="2" xfId="3" applyNumberFormat="1" applyFont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8" fillId="0" borderId="51" xfId="0" applyFont="1" applyBorder="1" applyAlignment="1" applyProtection="1">
      <alignment horizontal="left" indent="1"/>
      <protection locked="0"/>
    </xf>
    <xf numFmtId="0" fontId="28" fillId="0" borderId="51" xfId="1" applyNumberFormat="1" applyFont="1" applyBorder="1" applyAlignment="1">
      <alignment horizontal="center" vertical="center"/>
    </xf>
    <xf numFmtId="164" fontId="46" fillId="0" borderId="51" xfId="1" applyFont="1" applyBorder="1" applyAlignment="1">
      <alignment horizontal="center" vertical="center"/>
    </xf>
    <xf numFmtId="164" fontId="9" fillId="0" borderId="0" xfId="1" applyFont="1" applyFill="1" applyAlignment="1">
      <alignment vertical="center"/>
    </xf>
    <xf numFmtId="164" fontId="10" fillId="0" borderId="0" xfId="1" applyFont="1" applyFill="1"/>
    <xf numFmtId="164" fontId="10" fillId="0" borderId="0" xfId="1" applyFont="1" applyFill="1" applyAlignment="1">
      <alignment vertical="center"/>
    </xf>
    <xf numFmtId="43" fontId="10" fillId="0" borderId="0" xfId="0" applyNumberFormat="1" applyFont="1" applyFill="1" applyAlignment="1">
      <alignment vertical="center"/>
    </xf>
    <xf numFmtId="43" fontId="0" fillId="0" borderId="0" xfId="0" applyNumberFormat="1" applyFill="1"/>
    <xf numFmtId="0" fontId="9" fillId="0" borderId="0" xfId="0" applyFont="1" applyFill="1"/>
    <xf numFmtId="165" fontId="21" fillId="0" borderId="0" xfId="0" applyNumberFormat="1" applyFont="1" applyFill="1"/>
    <xf numFmtId="0" fontId="8" fillId="0" borderId="9" xfId="3" applyFont="1" applyBorder="1" applyAlignment="1">
      <alignment horizontal="left" vertical="center" wrapText="1"/>
    </xf>
    <xf numFmtId="164" fontId="8" fillId="0" borderId="51" xfId="5" applyFont="1" applyFill="1" applyBorder="1"/>
    <xf numFmtId="164" fontId="8" fillId="0" borderId="51" xfId="5" applyFont="1" applyFill="1" applyBorder="1" applyAlignment="1">
      <alignment horizontal="center"/>
    </xf>
    <xf numFmtId="164" fontId="7" fillId="0" borderId="51" xfId="5" applyFont="1" applyFill="1" applyBorder="1"/>
    <xf numFmtId="164" fontId="11" fillId="0" borderId="51" xfId="5" applyFont="1" applyFill="1" applyBorder="1"/>
    <xf numFmtId="0" fontId="8" fillId="0" borderId="3" xfId="3" applyFont="1" applyBorder="1" applyAlignment="1">
      <alignment horizontal="left" vertical="center" wrapText="1"/>
    </xf>
    <xf numFmtId="0" fontId="8" fillId="0" borderId="4" xfId="3" applyFont="1" applyBorder="1" applyAlignment="1">
      <alignment horizontal="center" vertical="center"/>
    </xf>
    <xf numFmtId="49" fontId="4" fillId="0" borderId="51" xfId="1" applyNumberFormat="1" applyFont="1" applyFill="1" applyBorder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0" fontId="6" fillId="0" borderId="51" xfId="3" applyFont="1" applyBorder="1" applyAlignment="1">
      <alignment horizontal="left" indent="1"/>
    </xf>
    <xf numFmtId="164" fontId="8" fillId="0" borderId="51" xfId="5" applyFont="1" applyFill="1" applyBorder="1" applyAlignment="1">
      <alignment vertical="center"/>
    </xf>
    <xf numFmtId="0" fontId="8" fillId="0" borderId="51" xfId="3" applyFont="1" applyBorder="1" applyAlignment="1">
      <alignment horizontal="left" indent="1"/>
    </xf>
    <xf numFmtId="0" fontId="8" fillId="0" borderId="51" xfId="3" applyFont="1" applyBorder="1" applyAlignment="1">
      <alignment horizontal="center" vertical="center" wrapText="1"/>
    </xf>
    <xf numFmtId="0" fontId="8" fillId="0" borderId="51" xfId="3" applyFont="1" applyBorder="1" applyAlignment="1">
      <alignment vertical="center" wrapText="1"/>
    </xf>
    <xf numFmtId="0" fontId="8" fillId="0" borderId="3" xfId="3" applyFont="1" applyBorder="1" applyAlignment="1">
      <alignment horizontal="left" wrapText="1"/>
    </xf>
    <xf numFmtId="0" fontId="8" fillId="0" borderId="9" xfId="3" applyFont="1" applyBorder="1" applyAlignment="1">
      <alignment horizontal="left" wrapText="1"/>
    </xf>
    <xf numFmtId="164" fontId="7" fillId="14" borderId="4" xfId="5" applyFont="1" applyFill="1" applyBorder="1"/>
    <xf numFmtId="164" fontId="7" fillId="0" borderId="51" xfId="5" applyFont="1" applyBorder="1"/>
    <xf numFmtId="164" fontId="8" fillId="0" borderId="51" xfId="5" applyFont="1" applyBorder="1"/>
    <xf numFmtId="0" fontId="6" fillId="0" borderId="51" xfId="0" applyFont="1" applyBorder="1"/>
    <xf numFmtId="0" fontId="6" fillId="0" borderId="0" xfId="0" applyFont="1"/>
    <xf numFmtId="164" fontId="7" fillId="0" borderId="51" xfId="5" applyFont="1" applyFill="1" applyBorder="1" applyAlignment="1">
      <alignment vertical="center"/>
    </xf>
    <xf numFmtId="164" fontId="7" fillId="0" borderId="51" xfId="5" applyFont="1" applyBorder="1" applyAlignment="1">
      <alignment vertical="center"/>
    </xf>
    <xf numFmtId="164" fontId="8" fillId="0" borderId="51" xfId="5" applyFont="1" applyBorder="1" applyAlignment="1">
      <alignment vertical="center"/>
    </xf>
    <xf numFmtId="164" fontId="11" fillId="14" borderId="51" xfId="5" applyFont="1" applyFill="1" applyBorder="1"/>
    <xf numFmtId="164" fontId="11" fillId="0" borderId="51" xfId="5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4" fillId="0" borderId="51" xfId="5" applyFont="1" applyFill="1" applyBorder="1" applyAlignment="1">
      <alignment vertical="center"/>
    </xf>
    <xf numFmtId="164" fontId="6" fillId="0" borderId="51" xfId="5" applyFont="1" applyBorder="1" applyAlignment="1">
      <alignment vertical="center"/>
    </xf>
    <xf numFmtId="164" fontId="11" fillId="0" borderId="51" xfId="5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164" fontId="8" fillId="0" borderId="4" xfId="5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4" fontId="7" fillId="0" borderId="4" xfId="3" applyNumberFormat="1" applyFont="1" applyBorder="1" applyAlignment="1">
      <alignment horizontal="center" vertical="center"/>
    </xf>
    <xf numFmtId="0" fontId="8" fillId="14" borderId="3" xfId="3" applyFont="1" applyFill="1" applyBorder="1" applyAlignment="1">
      <alignment horizontal="left" wrapText="1"/>
    </xf>
    <xf numFmtId="0" fontId="8" fillId="14" borderId="4" xfId="3" applyFont="1" applyFill="1" applyBorder="1" applyAlignment="1">
      <alignment horizontal="left" indent="1"/>
    </xf>
    <xf numFmtId="3" fontId="8" fillId="14" borderId="4" xfId="3" applyNumberFormat="1" applyFont="1" applyFill="1" applyBorder="1" applyAlignment="1">
      <alignment horizontal="left" indent="1"/>
    </xf>
    <xf numFmtId="3" fontId="8" fillId="14" borderId="4" xfId="3" applyNumberFormat="1" applyFont="1" applyFill="1" applyBorder="1" applyAlignment="1">
      <alignment horizontal="center"/>
    </xf>
    <xf numFmtId="164" fontId="8" fillId="14" borderId="51" xfId="5" applyFont="1" applyFill="1" applyBorder="1"/>
    <xf numFmtId="0" fontId="8" fillId="14" borderId="9" xfId="3" applyFont="1" applyFill="1" applyBorder="1" applyAlignment="1">
      <alignment horizontal="left" vertical="center" wrapText="1"/>
    </xf>
    <xf numFmtId="0" fontId="8" fillId="14" borderId="54" xfId="3" applyFont="1" applyFill="1" applyBorder="1" applyAlignment="1">
      <alignment horizontal="left" wrapText="1"/>
    </xf>
    <xf numFmtId="164" fontId="8" fillId="14" borderId="51" xfId="5" applyFont="1" applyFill="1" applyBorder="1" applyAlignment="1">
      <alignment horizontal="center"/>
    </xf>
    <xf numFmtId="0" fontId="8" fillId="14" borderId="4" xfId="3" applyFont="1" applyFill="1" applyBorder="1" applyAlignment="1">
      <alignment horizontal="left" vertical="center"/>
    </xf>
    <xf numFmtId="164" fontId="8" fillId="14" borderId="6" xfId="5" applyFont="1" applyFill="1" applyBorder="1" applyAlignment="1">
      <alignment vertical="center"/>
    </xf>
    <xf numFmtId="164" fontId="8" fillId="14" borderId="51" xfId="5" applyFont="1" applyFill="1" applyBorder="1" applyAlignment="1">
      <alignment vertical="center"/>
    </xf>
    <xf numFmtId="164" fontId="8" fillId="14" borderId="6" xfId="5" applyFont="1" applyFill="1" applyBorder="1" applyAlignment="1">
      <alignment horizontal="center" vertical="center"/>
    </xf>
    <xf numFmtId="164" fontId="4" fillId="0" borderId="0" xfId="3" applyNumberFormat="1" applyFont="1" applyAlignment="1">
      <alignment horizontal="center"/>
    </xf>
    <xf numFmtId="165" fontId="4" fillId="0" borderId="0" xfId="3" applyNumberFormat="1" applyFont="1" applyAlignment="1">
      <alignment horizontal="right"/>
    </xf>
    <xf numFmtId="165" fontId="4" fillId="0" borderId="2" xfId="3" applyNumberFormat="1" applyFont="1" applyBorder="1" applyAlignment="1">
      <alignment horizontal="right"/>
    </xf>
    <xf numFmtId="0" fontId="8" fillId="0" borderId="3" xfId="3" applyFont="1" applyBorder="1" applyAlignment="1">
      <alignment horizontal="left" wrapText="1" indent="1"/>
    </xf>
    <xf numFmtId="0" fontId="47" fillId="0" borderId="4" xfId="0" applyFont="1" applyBorder="1"/>
    <xf numFmtId="164" fontId="8" fillId="0" borderId="51" xfId="5" applyFont="1" applyFill="1" applyBorder="1" applyAlignment="1">
      <alignment horizontal="center" vertical="center"/>
    </xf>
    <xf numFmtId="0" fontId="9" fillId="0" borderId="0" xfId="0" applyFont="1"/>
    <xf numFmtId="167" fontId="4" fillId="0" borderId="2" xfId="3" applyNumberFormat="1" applyFont="1" applyBorder="1" applyAlignment="1">
      <alignment horizontal="right"/>
    </xf>
    <xf numFmtId="0" fontId="8" fillId="0" borderId="54" xfId="3" applyFont="1" applyBorder="1" applyAlignment="1">
      <alignment vertical="center" wrapText="1"/>
    </xf>
    <xf numFmtId="0" fontId="43" fillId="0" borderId="0" xfId="1" applyNumberFormat="1" applyFont="1" applyFill="1"/>
    <xf numFmtId="0" fontId="43" fillId="0" borderId="0" xfId="0" applyFont="1" applyFill="1"/>
    <xf numFmtId="43" fontId="5" fillId="0" borderId="0" xfId="0" applyNumberFormat="1" applyFont="1" applyFill="1"/>
    <xf numFmtId="4" fontId="7" fillId="0" borderId="0" xfId="0" applyNumberFormat="1" applyFont="1"/>
    <xf numFmtId="0" fontId="22" fillId="0" borderId="51" xfId="0" applyFont="1" applyBorder="1" applyAlignment="1">
      <alignment horizontal="left"/>
    </xf>
    <xf numFmtId="0" fontId="22" fillId="0" borderId="51" xfId="0" applyFont="1" applyBorder="1" applyAlignment="1">
      <alignment horizontal="left" vertical="center"/>
    </xf>
    <xf numFmtId="4" fontId="22" fillId="0" borderId="51" xfId="0" applyNumberFormat="1" applyFont="1" applyBorder="1"/>
    <xf numFmtId="4" fontId="22" fillId="0" borderId="51" xfId="0" applyNumberFormat="1" applyFont="1" applyBorder="1" applyAlignment="1">
      <alignment vertical="center"/>
    </xf>
    <xf numFmtId="164" fontId="13" fillId="0" borderId="0" xfId="1" applyFont="1" applyFill="1" applyAlignment="1">
      <alignment horizontal="left"/>
    </xf>
    <xf numFmtId="164" fontId="48" fillId="0" borderId="4" xfId="3" applyNumberFormat="1" applyFont="1" applyBorder="1" applyAlignment="1">
      <alignment horizontal="center"/>
    </xf>
    <xf numFmtId="164" fontId="7" fillId="0" borderId="0" xfId="1" applyFont="1" applyBorder="1" applyAlignment="1">
      <alignment horizontal="center" vertical="center"/>
    </xf>
    <xf numFmtId="164" fontId="28" fillId="0" borderId="52" xfId="1" applyFont="1" applyBorder="1" applyAlignment="1">
      <alignment vertical="center" wrapText="1"/>
    </xf>
    <xf numFmtId="164" fontId="28" fillId="0" borderId="17" xfId="1" applyFont="1" applyBorder="1" applyAlignment="1">
      <alignment vertical="center" wrapText="1"/>
    </xf>
    <xf numFmtId="164" fontId="28" fillId="0" borderId="4" xfId="1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9" fillId="0" borderId="53" xfId="0" applyFont="1" applyBorder="1" applyAlignment="1">
      <alignment vertical="center"/>
    </xf>
    <xf numFmtId="0" fontId="22" fillId="0" borderId="53" xfId="0" applyFont="1" applyBorder="1" applyAlignment="1">
      <alignment horizontal="center" vertical="center"/>
    </xf>
    <xf numFmtId="0" fontId="19" fillId="0" borderId="51" xfId="0" applyFont="1" applyBorder="1" applyAlignment="1">
      <alignment vertical="center"/>
    </xf>
    <xf numFmtId="0" fontId="31" fillId="17" borderId="6" xfId="0" applyFont="1" applyFill="1" applyBorder="1" applyAlignment="1">
      <alignment horizontal="center" vertical="center"/>
    </xf>
    <xf numFmtId="168" fontId="31" fillId="17" borderId="6" xfId="0" applyNumberFormat="1" applyFont="1" applyFill="1" applyBorder="1" applyAlignment="1">
      <alignment horizontal="center" vertical="center"/>
    </xf>
    <xf numFmtId="164" fontId="22" fillId="0" borderId="51" xfId="1" applyFont="1" applyBorder="1" applyAlignment="1">
      <alignment horizontal="right"/>
    </xf>
    <xf numFmtId="164" fontId="22" fillId="0" borderId="51" xfId="1" applyFont="1" applyFill="1" applyBorder="1" applyAlignment="1">
      <alignment horizontal="right"/>
    </xf>
    <xf numFmtId="164" fontId="22" fillId="0" borderId="56" xfId="1" applyFont="1" applyBorder="1" applyAlignment="1">
      <alignment horizontal="right"/>
    </xf>
    <xf numFmtId="0" fontId="49" fillId="17" borderId="2" xfId="3" applyFont="1" applyFill="1" applyBorder="1" applyAlignment="1">
      <alignment horizontal="center" vertical="center"/>
    </xf>
    <xf numFmtId="0" fontId="49" fillId="17" borderId="2" xfId="3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" fillId="17" borderId="2" xfId="3" applyFont="1" applyFill="1" applyBorder="1" applyAlignment="1">
      <alignment horizontal="left" vertical="center" indent="1"/>
    </xf>
    <xf numFmtId="4" fontId="4" fillId="17" borderId="2" xfId="3" applyNumberFormat="1" applyFont="1" applyFill="1" applyBorder="1" applyAlignment="1">
      <alignment horizontal="center" vertical="center"/>
    </xf>
    <xf numFmtId="49" fontId="4" fillId="17" borderId="7" xfId="1" applyNumberFormat="1" applyFont="1" applyFill="1" applyBorder="1" applyAlignment="1">
      <alignment horizontal="center"/>
    </xf>
    <xf numFmtId="49" fontId="4" fillId="17" borderId="2" xfId="1" applyNumberFormat="1" applyFont="1" applyFill="1" applyBorder="1" applyAlignment="1">
      <alignment horizontal="center"/>
    </xf>
    <xf numFmtId="164" fontId="4" fillId="17" borderId="2" xfId="3" applyNumberFormat="1" applyFont="1" applyFill="1" applyBorder="1" applyAlignment="1">
      <alignment horizontal="center" vertical="center"/>
    </xf>
    <xf numFmtId="164" fontId="4" fillId="17" borderId="8" xfId="3" applyNumberFormat="1" applyFont="1" applyFill="1" applyBorder="1" applyAlignment="1">
      <alignment horizontal="center" vertical="center"/>
    </xf>
    <xf numFmtId="0" fontId="4" fillId="17" borderId="25" xfId="3" applyFont="1" applyFill="1" applyBorder="1" applyAlignment="1">
      <alignment horizontal="left" vertical="center" wrapText="1" indent="1"/>
    </xf>
    <xf numFmtId="4" fontId="4" fillId="17" borderId="25" xfId="3" applyNumberFormat="1" applyFont="1" applyFill="1" applyBorder="1" applyAlignment="1">
      <alignment horizontal="center" vertical="center"/>
    </xf>
    <xf numFmtId="49" fontId="4" fillId="17" borderId="2" xfId="1" applyNumberFormat="1" applyFont="1" applyFill="1" applyBorder="1" applyAlignment="1">
      <alignment horizontal="center" vertical="center"/>
    </xf>
    <xf numFmtId="49" fontId="4" fillId="17" borderId="8" xfId="1" applyNumberFormat="1" applyFont="1" applyFill="1" applyBorder="1" applyAlignment="1">
      <alignment horizontal="center" vertical="center"/>
    </xf>
    <xf numFmtId="49" fontId="4" fillId="17" borderId="8" xfId="1" applyNumberFormat="1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23" fillId="10" borderId="24" xfId="0" applyFont="1" applyFill="1" applyBorder="1" applyAlignment="1">
      <alignment horizontal="center" vertical="center"/>
    </xf>
    <xf numFmtId="0" fontId="18" fillId="10" borderId="20" xfId="0" applyFont="1" applyFill="1" applyBorder="1" applyAlignment="1">
      <alignment horizontal="right"/>
    </xf>
    <xf numFmtId="164" fontId="18" fillId="10" borderId="16" xfId="1" applyFont="1" applyFill="1" applyBorder="1"/>
    <xf numFmtId="164" fontId="18" fillId="10" borderId="21" xfId="1" applyFont="1" applyFill="1" applyBorder="1"/>
    <xf numFmtId="2" fontId="17" fillId="17" borderId="6" xfId="0" applyNumberFormat="1" applyFont="1" applyFill="1" applyBorder="1" applyAlignment="1">
      <alignment horizontal="center" vertical="center"/>
    </xf>
    <xf numFmtId="7" fontId="17" fillId="17" borderId="6" xfId="0" applyNumberFormat="1" applyFont="1" applyFill="1" applyBorder="1" applyAlignment="1">
      <alignment horizontal="center" vertical="center"/>
    </xf>
    <xf numFmtId="44" fontId="17" fillId="17" borderId="6" xfId="0" applyNumberFormat="1" applyFont="1" applyFill="1" applyBorder="1" applyAlignment="1">
      <alignment horizontal="center" vertical="center"/>
    </xf>
    <xf numFmtId="168" fontId="33" fillId="17" borderId="6" xfId="0" applyNumberFormat="1" applyFont="1" applyFill="1" applyBorder="1" applyAlignment="1">
      <alignment horizontal="center" vertical="center"/>
    </xf>
    <xf numFmtId="168" fontId="23" fillId="17" borderId="6" xfId="0" applyNumberFormat="1" applyFont="1" applyFill="1" applyBorder="1" applyAlignment="1">
      <alignment horizontal="center" vertical="center"/>
    </xf>
    <xf numFmtId="164" fontId="28" fillId="0" borderId="41" xfId="1" applyFont="1" applyBorder="1" applyAlignment="1">
      <alignment vertical="center"/>
    </xf>
    <xf numFmtId="164" fontId="28" fillId="0" borderId="51" xfId="1" applyFont="1" applyBorder="1" applyAlignment="1">
      <alignment vertical="center"/>
    </xf>
    <xf numFmtId="164" fontId="28" fillId="0" borderId="56" xfId="1" applyFont="1" applyBorder="1" applyAlignment="1">
      <alignment vertical="center"/>
    </xf>
    <xf numFmtId="0" fontId="6" fillId="0" borderId="6" xfId="3" applyFont="1" applyBorder="1" applyAlignment="1">
      <alignment horizontal="left" vertical="center" indent="1"/>
    </xf>
    <xf numFmtId="164" fontId="7" fillId="0" borderId="5" xfId="3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5" xfId="0" applyNumberFormat="1" applyFont="1" applyBorder="1"/>
    <xf numFmtId="165" fontId="8" fillId="0" borderId="6" xfId="2" applyNumberFormat="1" applyFont="1" applyFill="1" applyBorder="1" applyAlignment="1">
      <alignment horizontal="right" vertical="center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1" xfId="0" applyFont="1" applyBorder="1" applyAlignment="1" applyProtection="1">
      <alignment vertical="center"/>
      <protection locked="0"/>
    </xf>
    <xf numFmtId="0" fontId="8" fillId="0" borderId="53" xfId="3" applyFont="1" applyBorder="1" applyAlignment="1">
      <alignment horizontal="left" vertical="center" wrapText="1"/>
    </xf>
    <xf numFmtId="164" fontId="6" fillId="0" borderId="4" xfId="1" applyFont="1" applyBorder="1" applyAlignment="1">
      <alignment vertical="center"/>
    </xf>
    <xf numFmtId="164" fontId="4" fillId="0" borderId="48" xfId="3" applyNumberFormat="1" applyFont="1" applyBorder="1" applyAlignment="1">
      <alignment horizontal="center"/>
    </xf>
    <xf numFmtId="164" fontId="11" fillId="0" borderId="6" xfId="3" applyNumberFormat="1" applyFont="1" applyBorder="1" applyAlignment="1">
      <alignment horizontal="center"/>
    </xf>
    <xf numFmtId="164" fontId="7" fillId="2" borderId="4" xfId="5" applyFont="1" applyFill="1" applyBorder="1" applyAlignment="1">
      <alignment vertical="center"/>
    </xf>
    <xf numFmtId="164" fontId="7" fillId="0" borderId="6" xfId="5" applyFont="1" applyFill="1" applyBorder="1"/>
    <xf numFmtId="165" fontId="7" fillId="0" borderId="6" xfId="2" applyNumberFormat="1" applyFont="1" applyFill="1" applyBorder="1" applyAlignment="1">
      <alignment horizontal="right" vertical="center"/>
    </xf>
    <xf numFmtId="164" fontId="7" fillId="14" borderId="51" xfId="5" applyFont="1" applyFill="1" applyBorder="1"/>
    <xf numFmtId="164" fontId="11" fillId="0" borderId="4" xfId="5" applyFont="1" applyFill="1" applyBorder="1" applyAlignment="1">
      <alignment vertical="center"/>
    </xf>
    <xf numFmtId="0" fontId="8" fillId="0" borderId="54" xfId="3" applyFont="1" applyBorder="1" applyAlignment="1">
      <alignment horizontal="left" vertical="center" wrapText="1"/>
    </xf>
    <xf numFmtId="0" fontId="0" fillId="0" borderId="51" xfId="0" applyFill="1" applyBorder="1" applyAlignment="1">
      <alignment vertical="center"/>
    </xf>
    <xf numFmtId="164" fontId="28" fillId="0" borderId="52" xfId="1" applyFont="1" applyBorder="1" applyAlignment="1">
      <alignment horizontal="center" vertical="center" wrapText="1"/>
    </xf>
    <xf numFmtId="0" fontId="28" fillId="0" borderId="52" xfId="1" applyNumberFormat="1" applyFont="1" applyBorder="1" applyAlignment="1">
      <alignment horizontal="center" vertical="center"/>
    </xf>
    <xf numFmtId="164" fontId="28" fillId="0" borderId="51" xfId="1" applyFont="1" applyBorder="1" applyAlignment="1">
      <alignment vertical="center" wrapText="1"/>
    </xf>
    <xf numFmtId="0" fontId="8" fillId="0" borderId="54" xfId="3" applyFont="1" applyBorder="1" applyAlignment="1">
      <alignment horizontal="left" wrapText="1" indent="1"/>
    </xf>
    <xf numFmtId="43" fontId="10" fillId="0" borderId="0" xfId="0" applyNumberFormat="1" applyFont="1" applyFill="1" applyAlignment="1">
      <alignment horizontal="left" vertical="center"/>
    </xf>
    <xf numFmtId="167" fontId="4" fillId="0" borderId="0" xfId="3" applyNumberFormat="1" applyFont="1" applyAlignment="1">
      <alignment horizontal="right"/>
    </xf>
    <xf numFmtId="164" fontId="11" fillId="0" borderId="52" xfId="5" applyFont="1" applyFill="1" applyBorder="1" applyAlignment="1">
      <alignment vertical="center"/>
    </xf>
    <xf numFmtId="0" fontId="20" fillId="0" borderId="0" xfId="0" applyFont="1" applyFill="1"/>
    <xf numFmtId="164" fontId="7" fillId="0" borderId="4" xfId="5" applyFont="1" applyFill="1" applyBorder="1" applyAlignment="1">
      <alignment vertical="center"/>
    </xf>
    <xf numFmtId="164" fontId="11" fillId="0" borderId="4" xfId="1" applyFont="1" applyBorder="1" applyAlignment="1">
      <alignment vertical="center"/>
    </xf>
    <xf numFmtId="0" fontId="18" fillId="10" borderId="53" xfId="0" applyFont="1" applyFill="1" applyBorder="1" applyAlignment="1">
      <alignment horizontal="center" vertical="center"/>
    </xf>
    <xf numFmtId="0" fontId="18" fillId="0" borderId="53" xfId="0" applyFont="1" applyBorder="1"/>
    <xf numFmtId="1" fontId="18" fillId="0" borderId="53" xfId="0" applyNumberFormat="1" applyFont="1" applyBorder="1"/>
    <xf numFmtId="0" fontId="18" fillId="0" borderId="53" xfId="0" applyFont="1" applyFill="1" applyBorder="1"/>
    <xf numFmtId="0" fontId="18" fillId="10" borderId="42" xfId="0" applyFont="1" applyFill="1" applyBorder="1" applyAlignment="1">
      <alignment horizontal="right"/>
    </xf>
    <xf numFmtId="49" fontId="18" fillId="0" borderId="53" xfId="0" applyNumberFormat="1" applyFont="1" applyBorder="1" applyAlignment="1">
      <alignment horizontal="left"/>
    </xf>
    <xf numFmtId="0" fontId="0" fillId="0" borderId="10" xfId="0" applyBorder="1"/>
    <xf numFmtId="0" fontId="8" fillId="0" borderId="27" xfId="3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indent="1"/>
      <protection locked="0"/>
    </xf>
    <xf numFmtId="0" fontId="22" fillId="0" borderId="51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/>
    </xf>
    <xf numFmtId="1" fontId="18" fillId="0" borderId="53" xfId="0" applyNumberFormat="1" applyFont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49" fontId="18" fillId="0" borderId="53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167" fontId="27" fillId="0" borderId="0" xfId="0" applyNumberFormat="1" applyFont="1"/>
    <xf numFmtId="164" fontId="27" fillId="0" borderId="0" xfId="1" applyFont="1"/>
    <xf numFmtId="0" fontId="27" fillId="0" borderId="0" xfId="0" applyFont="1"/>
    <xf numFmtId="164" fontId="28" fillId="0" borderId="52" xfId="1" applyFont="1" applyBorder="1" applyAlignment="1">
      <alignment horizontal="center" vertical="center"/>
    </xf>
    <xf numFmtId="164" fontId="4" fillId="0" borderId="51" xfId="5" applyFont="1" applyFill="1" applyBorder="1"/>
    <xf numFmtId="43" fontId="9" fillId="0" borderId="0" xfId="0" applyNumberFormat="1" applyFont="1"/>
    <xf numFmtId="4" fontId="22" fillId="0" borderId="51" xfId="0" applyNumberFormat="1" applyFont="1" applyBorder="1" applyAlignment="1">
      <alignment horizontal="right" vertical="center"/>
    </xf>
    <xf numFmtId="0" fontId="0" fillId="0" borderId="4" xfId="0" applyFill="1" applyBorder="1"/>
    <xf numFmtId="164" fontId="7" fillId="0" borderId="4" xfId="5" applyFont="1" applyBorder="1" applyAlignment="1">
      <alignment vertical="center"/>
    </xf>
    <xf numFmtId="164" fontId="11" fillId="0" borderId="6" xfId="5" applyFont="1" applyFill="1" applyBorder="1"/>
    <xf numFmtId="0" fontId="6" fillId="0" borderId="10" xfId="0" applyFont="1" applyBorder="1" applyAlignment="1">
      <alignment vertical="center"/>
    </xf>
    <xf numFmtId="164" fontId="28" fillId="0" borderId="27" xfId="1" applyFont="1" applyBorder="1" applyAlignment="1">
      <alignment vertical="center"/>
    </xf>
    <xf numFmtId="0" fontId="20" fillId="7" borderId="2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34" xfId="0" applyFont="1" applyFill="1" applyBorder="1" applyAlignment="1">
      <alignment horizontal="center" vertical="center"/>
    </xf>
    <xf numFmtId="43" fontId="10" fillId="0" borderId="46" xfId="0" applyNumberFormat="1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1" fontId="18" fillId="0" borderId="36" xfId="0" applyNumberFormat="1" applyFont="1" applyBorder="1" applyAlignment="1">
      <alignment horizontal="right" vertical="center"/>
    </xf>
    <xf numFmtId="1" fontId="18" fillId="0" borderId="61" xfId="0" applyNumberFormat="1" applyFont="1" applyBorder="1" applyAlignment="1">
      <alignment horizontal="right" vertical="center"/>
    </xf>
    <xf numFmtId="1" fontId="18" fillId="0" borderId="3" xfId="0" applyNumberFormat="1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61" xfId="0" applyFont="1" applyBorder="1" applyAlignment="1">
      <alignment horizontal="right" vertical="center"/>
    </xf>
    <xf numFmtId="164" fontId="22" fillId="0" borderId="52" xfId="1" applyFont="1" applyBorder="1" applyAlignment="1">
      <alignment horizontal="center" vertical="center"/>
    </xf>
    <xf numFmtId="164" fontId="22" fillId="0" borderId="17" xfId="1" applyFont="1" applyBorder="1" applyAlignment="1">
      <alignment horizontal="center" vertical="center"/>
    </xf>
    <xf numFmtId="164" fontId="22" fillId="0" borderId="4" xfId="1" applyFont="1" applyBorder="1" applyAlignment="1">
      <alignment horizontal="center" vertical="center"/>
    </xf>
    <xf numFmtId="0" fontId="28" fillId="0" borderId="43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0" fillId="13" borderId="28" xfId="0" applyFont="1" applyFill="1" applyBorder="1" applyAlignment="1">
      <alignment horizontal="center" vertical="center"/>
    </xf>
    <xf numFmtId="0" fontId="20" fillId="13" borderId="29" xfId="0" applyFont="1" applyFill="1" applyBorder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0" fontId="20" fillId="13" borderId="3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20" fillId="13" borderId="19" xfId="0" applyFont="1" applyFill="1" applyBorder="1" applyAlignment="1">
      <alignment horizontal="center" vertical="center"/>
    </xf>
    <xf numFmtId="0" fontId="16" fillId="0" borderId="43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22" fillId="0" borderId="3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7" borderId="19" xfId="0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41" fillId="4" borderId="3" xfId="3" applyFont="1" applyFill="1" applyBorder="1" applyAlignment="1">
      <alignment horizontal="center" vertical="center"/>
    </xf>
    <xf numFmtId="0" fontId="41" fillId="4" borderId="59" xfId="3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8" fillId="0" borderId="52" xfId="1" applyNumberFormat="1" applyFont="1" applyBorder="1" applyAlignment="1">
      <alignment horizontal="center" vertical="center"/>
    </xf>
    <xf numFmtId="0" fontId="28" fillId="0" borderId="4" xfId="1" applyNumberFormat="1" applyFont="1" applyBorder="1" applyAlignment="1">
      <alignment horizontal="center" vertical="center"/>
    </xf>
    <xf numFmtId="0" fontId="42" fillId="15" borderId="52" xfId="0" applyFont="1" applyFill="1" applyBorder="1" applyAlignment="1">
      <alignment horizontal="center" vertical="center"/>
    </xf>
    <xf numFmtId="0" fontId="42" fillId="15" borderId="4" xfId="0" applyFont="1" applyFill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4" fontId="28" fillId="0" borderId="52" xfId="1" applyFont="1" applyBorder="1" applyAlignment="1">
      <alignment horizontal="center" vertical="center" wrapText="1"/>
    </xf>
    <xf numFmtId="164" fontId="28" fillId="0" borderId="4" xfId="1" applyFont="1" applyBorder="1" applyAlignment="1">
      <alignment horizontal="center" vertical="center" wrapText="1"/>
    </xf>
    <xf numFmtId="164" fontId="28" fillId="0" borderId="52" xfId="1" applyFont="1" applyBorder="1" applyAlignment="1">
      <alignment horizontal="center" vertical="center"/>
    </xf>
    <xf numFmtId="164" fontId="28" fillId="0" borderId="4" xfId="1" applyFont="1" applyBorder="1" applyAlignment="1">
      <alignment horizontal="center" vertical="center"/>
    </xf>
    <xf numFmtId="164" fontId="28" fillId="0" borderId="51" xfId="1" applyFont="1" applyBorder="1" applyAlignment="1">
      <alignment horizontal="center" vertical="center"/>
    </xf>
    <xf numFmtId="164" fontId="28" fillId="0" borderId="51" xfId="1" applyFont="1" applyBorder="1" applyAlignment="1">
      <alignment horizontal="center" vertical="center" wrapText="1"/>
    </xf>
    <xf numFmtId="0" fontId="42" fillId="15" borderId="51" xfId="0" applyFont="1" applyFill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17" xfId="1" applyFont="1" applyBorder="1" applyAlignment="1">
      <alignment horizontal="center" vertical="center"/>
    </xf>
    <xf numFmtId="164" fontId="28" fillId="0" borderId="17" xfId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42" fillId="15" borderId="17" xfId="0" applyFont="1" applyFill="1" applyBorder="1" applyAlignment="1">
      <alignment horizontal="center" vertical="center"/>
    </xf>
    <xf numFmtId="0" fontId="41" fillId="16" borderId="12" xfId="3" applyFont="1" applyFill="1" applyBorder="1" applyAlignment="1">
      <alignment horizontal="center" vertical="center"/>
    </xf>
    <xf numFmtId="0" fontId="41" fillId="16" borderId="48" xfId="3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9" borderId="25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9" borderId="8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18" fillId="11" borderId="25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18" fillId="0" borderId="43" xfId="0" applyFont="1" applyBorder="1" applyAlignment="1">
      <alignment horizontal="right"/>
    </xf>
    <xf numFmtId="0" fontId="18" fillId="0" borderId="44" xfId="0" applyFont="1" applyBorder="1" applyAlignment="1">
      <alignment horizontal="right"/>
    </xf>
    <xf numFmtId="0" fontId="18" fillId="0" borderId="42" xfId="0" applyFont="1" applyBorder="1" applyAlignment="1">
      <alignment horizontal="right"/>
    </xf>
    <xf numFmtId="168" fontId="19" fillId="0" borderId="52" xfId="0" applyNumberFormat="1" applyFont="1" applyBorder="1" applyAlignment="1">
      <alignment horizontal="center" vertical="center"/>
    </xf>
    <xf numFmtId="168" fontId="19" fillId="0" borderId="17" xfId="0" applyNumberFormat="1" applyFont="1" applyBorder="1" applyAlignment="1">
      <alignment horizontal="center" vertical="center"/>
    </xf>
    <xf numFmtId="168" fontId="19" fillId="0" borderId="4" xfId="0" applyNumberFormat="1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7" fontId="16" fillId="0" borderId="52" xfId="0" applyNumberFormat="1" applyFont="1" applyBorder="1" applyAlignment="1">
      <alignment horizontal="center" vertical="center"/>
    </xf>
    <xf numFmtId="7" fontId="16" fillId="0" borderId="17" xfId="0" applyNumberFormat="1" applyFont="1" applyBorder="1" applyAlignment="1">
      <alignment horizontal="center" vertical="center"/>
    </xf>
    <xf numFmtId="7" fontId="16" fillId="0" borderId="4" xfId="0" applyNumberFormat="1" applyFont="1" applyBorder="1" applyAlignment="1">
      <alignment horizontal="center" vertical="center"/>
    </xf>
    <xf numFmtId="2" fontId="22" fillId="3" borderId="52" xfId="0" applyNumberFormat="1" applyFont="1" applyFill="1" applyBorder="1" applyAlignment="1">
      <alignment horizontal="center" vertical="center"/>
    </xf>
    <xf numFmtId="2" fontId="22" fillId="3" borderId="17" xfId="0" applyNumberFormat="1" applyFont="1" applyFill="1" applyBorder="1" applyAlignment="1">
      <alignment horizontal="center" vertical="center"/>
    </xf>
    <xf numFmtId="2" fontId="22" fillId="3" borderId="4" xfId="0" applyNumberFormat="1" applyFont="1" applyFill="1" applyBorder="1" applyAlignment="1">
      <alignment horizontal="center" vertical="center"/>
    </xf>
    <xf numFmtId="2" fontId="22" fillId="5" borderId="6" xfId="0" applyNumberFormat="1" applyFont="1" applyFill="1" applyBorder="1" applyAlignment="1">
      <alignment horizontal="center" vertical="center"/>
    </xf>
    <xf numFmtId="7" fontId="16" fillId="0" borderId="6" xfId="0" applyNumberFormat="1" applyFont="1" applyBorder="1" applyAlignment="1">
      <alignment horizontal="center" vertical="center"/>
    </xf>
    <xf numFmtId="168" fontId="19" fillId="0" borderId="6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2" fontId="22" fillId="7" borderId="6" xfId="0" applyNumberFormat="1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2" fontId="22" fillId="10" borderId="6" xfId="0" applyNumberFormat="1" applyFont="1" applyFill="1" applyBorder="1" applyAlignment="1">
      <alignment horizontal="center" vertical="center"/>
    </xf>
    <xf numFmtId="0" fontId="20" fillId="12" borderId="32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 vertical="center"/>
    </xf>
    <xf numFmtId="0" fontId="20" fillId="8" borderId="33" xfId="0" applyFont="1" applyFill="1" applyBorder="1" applyAlignment="1">
      <alignment horizontal="center" vertical="center"/>
    </xf>
    <xf numFmtId="0" fontId="20" fillId="8" borderId="34" xfId="0" applyFont="1" applyFill="1" applyBorder="1" applyAlignment="1">
      <alignment horizontal="center" vertical="center"/>
    </xf>
    <xf numFmtId="0" fontId="30" fillId="10" borderId="6" xfId="0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2" fontId="22" fillId="3" borderId="51" xfId="0" applyNumberFormat="1" applyFont="1" applyFill="1" applyBorder="1" applyAlignment="1">
      <alignment horizontal="center" vertical="center"/>
    </xf>
    <xf numFmtId="7" fontId="16" fillId="0" borderId="51" xfId="0" applyNumberFormat="1" applyFont="1" applyBorder="1" applyAlignment="1">
      <alignment horizontal="center" vertical="center"/>
    </xf>
    <xf numFmtId="168" fontId="19" fillId="0" borderId="51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 wrapText="1"/>
    </xf>
    <xf numFmtId="2" fontId="22" fillId="17" borderId="6" xfId="0" applyNumberFormat="1" applyFont="1" applyFill="1" applyBorder="1" applyAlignment="1">
      <alignment horizontal="center" vertical="center"/>
    </xf>
    <xf numFmtId="0" fontId="30" fillId="17" borderId="6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/>
    </xf>
    <xf numFmtId="0" fontId="22" fillId="0" borderId="57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8" fillId="0" borderId="2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</cellXfs>
  <cellStyles count="10">
    <cellStyle name="Moeda" xfId="2" builtinId="4"/>
    <cellStyle name="Normal" xfId="0" builtinId="0"/>
    <cellStyle name="Normal 11 4" xfId="6" xr:uid="{00000000-0005-0000-0000-000002000000}"/>
    <cellStyle name="Normal 2" xfId="3" xr:uid="{00000000-0005-0000-0000-000003000000}"/>
    <cellStyle name="Normal 2 2" xfId="8" xr:uid="{00000000-0005-0000-0000-000004000000}"/>
    <cellStyle name="Separador de milhares 2" xfId="5" xr:uid="{00000000-0005-0000-0000-000005000000}"/>
    <cellStyle name="Separador de milhares 2 2" xfId="9" xr:uid="{00000000-0005-0000-0000-000006000000}"/>
    <cellStyle name="Vírgula" xfId="1" builtinId="3"/>
    <cellStyle name="Vírgula 5 4" xfId="7" xr:uid="{00000000-0005-0000-0000-000008000000}"/>
    <cellStyle name="Vírgula 8" xfId="4" xr:uid="{00000000-0005-0000-0000-000009000000}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BCDFC"/>
      <color rgb="FFC09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0"/>
  <sheetViews>
    <sheetView showGridLines="0" zoomScale="60" zoomScaleNormal="60" workbookViewId="0">
      <pane ySplit="2" topLeftCell="A123" activePane="bottomLeft" state="frozen"/>
      <selection pane="bottomLeft" activeCell="Q47" sqref="Q47"/>
    </sheetView>
  </sheetViews>
  <sheetFormatPr defaultRowHeight="12.75" x14ac:dyDescent="0.2"/>
  <cols>
    <col min="1" max="1" width="89.5703125" customWidth="1"/>
    <col min="2" max="2" width="22.28515625" customWidth="1"/>
    <col min="3" max="4" width="19.7109375" customWidth="1"/>
    <col min="5" max="5" width="35.85546875" customWidth="1"/>
    <col min="6" max="6" width="20.140625" bestFit="1" customWidth="1"/>
    <col min="7" max="7" width="19.7109375" bestFit="1" customWidth="1"/>
    <col min="8" max="8" width="26.140625" customWidth="1"/>
    <col min="9" max="9" width="22.28515625" bestFit="1" customWidth="1"/>
    <col min="10" max="10" width="19.7109375" bestFit="1" customWidth="1"/>
    <col min="11" max="11" width="21.140625" bestFit="1" customWidth="1"/>
    <col min="12" max="12" width="21.85546875" bestFit="1" customWidth="1"/>
    <col min="13" max="13" width="23" customWidth="1"/>
    <col min="14" max="14" width="22.85546875" customWidth="1"/>
    <col min="15" max="16" width="19.7109375" bestFit="1" customWidth="1"/>
    <col min="17" max="17" width="23.42578125" customWidth="1"/>
    <col min="18" max="18" width="25.140625" bestFit="1" customWidth="1"/>
    <col min="19" max="19" width="62.28515625" bestFit="1" customWidth="1"/>
    <col min="20" max="20" width="22.7109375" bestFit="1" customWidth="1"/>
    <col min="21" max="21" width="24.7109375" customWidth="1"/>
    <col min="22" max="22" width="22.7109375" customWidth="1"/>
    <col min="23" max="23" width="18" customWidth="1"/>
    <col min="25" max="25" width="21.85546875" bestFit="1" customWidth="1"/>
  </cols>
  <sheetData>
    <row r="1" spans="1:19" ht="33.75" customHeight="1" thickBot="1" x14ac:dyDescent="0.3">
      <c r="A1" s="432" t="s">
        <v>309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 ht="48.75" customHeight="1" thickBot="1" x14ac:dyDescent="0.3">
      <c r="A2" s="430" t="s">
        <v>0</v>
      </c>
      <c r="B2" s="431" t="s">
        <v>1</v>
      </c>
      <c r="C2" s="430" t="s">
        <v>2</v>
      </c>
      <c r="D2" s="430" t="s">
        <v>287</v>
      </c>
      <c r="E2" s="430" t="s">
        <v>22</v>
      </c>
      <c r="F2" s="430" t="s">
        <v>3</v>
      </c>
      <c r="G2" s="430" t="s">
        <v>4</v>
      </c>
      <c r="H2" s="430" t="s">
        <v>5</v>
      </c>
      <c r="I2" s="430" t="s">
        <v>6</v>
      </c>
      <c r="J2" s="430" t="s">
        <v>7</v>
      </c>
      <c r="K2" s="430" t="s">
        <v>8</v>
      </c>
      <c r="L2" s="430" t="s">
        <v>9</v>
      </c>
      <c r="M2" s="430" t="s">
        <v>10</v>
      </c>
      <c r="N2" s="430" t="s">
        <v>11</v>
      </c>
      <c r="O2" s="430" t="s">
        <v>12</v>
      </c>
      <c r="P2" s="430" t="s">
        <v>13</v>
      </c>
      <c r="Q2" s="430" t="s">
        <v>14</v>
      </c>
      <c r="R2" s="431" t="s">
        <v>15</v>
      </c>
      <c r="S2" s="3"/>
    </row>
    <row r="3" spans="1:19" s="76" customFormat="1" ht="38.25" thickBot="1" x14ac:dyDescent="0.25">
      <c r="A3" s="73" t="s">
        <v>42</v>
      </c>
      <c r="B3" s="60">
        <v>24653.51</v>
      </c>
      <c r="C3" s="74" t="s">
        <v>17</v>
      </c>
      <c r="D3" s="75"/>
      <c r="E3" s="75"/>
      <c r="F3" s="61">
        <f t="shared" ref="F3:Q3" si="0">SUM(F4:F13)</f>
        <v>0</v>
      </c>
      <c r="G3" s="61">
        <f t="shared" si="0"/>
        <v>0</v>
      </c>
      <c r="H3" s="61">
        <f t="shared" si="0"/>
        <v>0</v>
      </c>
      <c r="I3" s="61">
        <f t="shared" si="0"/>
        <v>0</v>
      </c>
      <c r="J3" s="61">
        <f t="shared" si="0"/>
        <v>0</v>
      </c>
      <c r="K3" s="61">
        <f t="shared" si="0"/>
        <v>0</v>
      </c>
      <c r="L3" s="61">
        <f t="shared" si="0"/>
        <v>0</v>
      </c>
      <c r="M3" s="61">
        <f t="shared" si="0"/>
        <v>0</v>
      </c>
      <c r="N3" s="61">
        <f t="shared" si="0"/>
        <v>0</v>
      </c>
      <c r="O3" s="61">
        <f t="shared" si="0"/>
        <v>0</v>
      </c>
      <c r="P3" s="61">
        <f t="shared" si="0"/>
        <v>0</v>
      </c>
      <c r="Q3" s="61">
        <f t="shared" si="0"/>
        <v>0</v>
      </c>
      <c r="R3" s="62">
        <f t="shared" ref="R3:R13" si="1">SUM(F3:Q3)</f>
        <v>0</v>
      </c>
    </row>
    <row r="4" spans="1:19" ht="37.5" x14ac:dyDescent="0.3">
      <c r="A4" s="68" t="s">
        <v>30</v>
      </c>
      <c r="B4" s="69"/>
      <c r="C4" s="70"/>
      <c r="D4" s="70"/>
      <c r="E4" s="55"/>
      <c r="F4" s="71"/>
      <c r="G4" s="71"/>
      <c r="H4" s="71"/>
      <c r="I4" s="71"/>
      <c r="J4" s="71"/>
      <c r="K4" s="71"/>
      <c r="L4" s="46"/>
      <c r="M4" s="46"/>
      <c r="O4" s="310"/>
      <c r="P4" s="71"/>
      <c r="Q4" s="71"/>
      <c r="R4" s="71">
        <f t="shared" si="1"/>
        <v>0</v>
      </c>
    </row>
    <row r="5" spans="1:19" ht="37.5" x14ac:dyDescent="0.3">
      <c r="A5" s="67" t="s">
        <v>30</v>
      </c>
      <c r="B5" s="65"/>
      <c r="C5" s="20"/>
      <c r="D5" s="359"/>
      <c r="E5" s="49"/>
      <c r="F5" s="66"/>
      <c r="G5" s="66"/>
      <c r="H5" s="66"/>
      <c r="I5" s="66"/>
      <c r="J5" s="66"/>
      <c r="K5" s="66"/>
      <c r="L5" s="284"/>
      <c r="M5" s="284"/>
      <c r="N5" s="285"/>
      <c r="O5" s="66"/>
      <c r="P5" s="66"/>
      <c r="Q5" s="66"/>
      <c r="R5" s="71">
        <f t="shared" si="1"/>
        <v>0</v>
      </c>
    </row>
    <row r="6" spans="1:19" ht="18.75" x14ac:dyDescent="0.3">
      <c r="A6" s="458" t="s">
        <v>31</v>
      </c>
      <c r="B6" s="65"/>
      <c r="C6" s="20"/>
      <c r="D6" s="359"/>
      <c r="E6" s="20"/>
      <c r="F6" s="66"/>
      <c r="G6" s="66"/>
      <c r="H6" s="66"/>
      <c r="I6" s="66"/>
      <c r="J6" s="66"/>
      <c r="K6" s="66"/>
      <c r="L6" s="284"/>
      <c r="M6" s="284"/>
      <c r="N6" s="285"/>
      <c r="O6" s="313"/>
      <c r="P6" s="313"/>
      <c r="Q6" s="314"/>
      <c r="R6" s="71">
        <f t="shared" si="1"/>
        <v>0</v>
      </c>
    </row>
    <row r="7" spans="1:19" ht="37.5" x14ac:dyDescent="0.3">
      <c r="A7" s="67" t="s">
        <v>32</v>
      </c>
      <c r="B7" s="65"/>
      <c r="C7" s="20"/>
      <c r="D7" s="359"/>
      <c r="E7" s="20"/>
      <c r="F7" s="66"/>
      <c r="G7" s="66"/>
      <c r="H7" s="66"/>
      <c r="I7" s="66"/>
      <c r="J7" s="66"/>
      <c r="K7" s="66"/>
      <c r="L7" s="284"/>
      <c r="M7" s="284"/>
      <c r="N7" s="284"/>
      <c r="O7" s="315"/>
      <c r="P7" s="313"/>
      <c r="Q7" s="313"/>
      <c r="R7" s="71">
        <f t="shared" si="1"/>
        <v>0</v>
      </c>
    </row>
    <row r="8" spans="1:19" ht="18.75" x14ac:dyDescent="0.3">
      <c r="A8" s="458" t="s">
        <v>33</v>
      </c>
      <c r="B8" s="65"/>
      <c r="C8" s="20"/>
      <c r="D8" s="359"/>
      <c r="E8" s="20"/>
      <c r="F8" s="66"/>
      <c r="G8" s="66"/>
      <c r="H8" s="66"/>
      <c r="I8" s="66"/>
      <c r="J8" s="66"/>
      <c r="K8" s="66"/>
      <c r="L8" s="284"/>
      <c r="M8" s="284"/>
      <c r="N8" s="284"/>
      <c r="O8" s="315"/>
      <c r="P8" s="82"/>
      <c r="Q8" s="314"/>
      <c r="R8" s="71">
        <f t="shared" si="1"/>
        <v>0</v>
      </c>
    </row>
    <row r="9" spans="1:19" ht="18.75" x14ac:dyDescent="0.3">
      <c r="A9" s="458" t="s">
        <v>34</v>
      </c>
      <c r="B9" s="65"/>
      <c r="C9" s="20"/>
      <c r="D9" s="359"/>
      <c r="E9" s="20"/>
      <c r="F9" s="66"/>
      <c r="G9" s="66"/>
      <c r="H9" s="66"/>
      <c r="I9" s="66"/>
      <c r="J9" s="66"/>
      <c r="K9" s="66"/>
      <c r="L9" s="284"/>
      <c r="M9" s="284"/>
      <c r="N9" s="284"/>
      <c r="O9" s="315"/>
      <c r="P9" s="313"/>
      <c r="Q9" s="314"/>
      <c r="R9" s="71">
        <f t="shared" si="1"/>
        <v>0</v>
      </c>
    </row>
    <row r="10" spans="1:19" ht="18.75" x14ac:dyDescent="0.3">
      <c r="A10" s="458" t="s">
        <v>35</v>
      </c>
      <c r="B10" s="65"/>
      <c r="C10" s="20"/>
      <c r="D10" s="359"/>
      <c r="E10" s="20"/>
      <c r="F10" s="66"/>
      <c r="G10" s="66"/>
      <c r="H10" s="66"/>
      <c r="I10" s="66"/>
      <c r="J10" s="66"/>
      <c r="K10" s="66"/>
      <c r="L10" s="284"/>
      <c r="M10" s="284"/>
      <c r="N10" s="284"/>
      <c r="O10" s="82"/>
      <c r="P10" s="314"/>
      <c r="Q10" s="314"/>
      <c r="R10" s="71">
        <f t="shared" si="1"/>
        <v>0</v>
      </c>
    </row>
    <row r="11" spans="1:19" ht="18.75" x14ac:dyDescent="0.3">
      <c r="A11" s="458" t="s">
        <v>36</v>
      </c>
      <c r="B11" s="65"/>
      <c r="C11" s="20"/>
      <c r="D11" s="359"/>
      <c r="E11" s="20"/>
      <c r="F11" s="66"/>
      <c r="G11" s="66"/>
      <c r="H11" s="66"/>
      <c r="I11" s="66"/>
      <c r="J11" s="66"/>
      <c r="K11" s="66"/>
      <c r="L11" s="284"/>
      <c r="M11" s="284"/>
      <c r="N11" s="284"/>
      <c r="O11" s="315"/>
      <c r="P11" s="314"/>
      <c r="Q11" s="314"/>
      <c r="R11" s="71">
        <f t="shared" si="1"/>
        <v>0</v>
      </c>
    </row>
    <row r="12" spans="1:19" ht="18.75" x14ac:dyDescent="0.3">
      <c r="A12" s="42" t="s">
        <v>37</v>
      </c>
      <c r="B12" s="42"/>
      <c r="C12" s="42"/>
      <c r="D12" s="42"/>
      <c r="E12" s="42"/>
      <c r="F12" s="40"/>
      <c r="G12" s="40"/>
      <c r="H12" s="40"/>
      <c r="I12" s="56"/>
      <c r="J12" s="40"/>
      <c r="K12" s="56"/>
      <c r="L12" s="284"/>
      <c r="M12" s="284"/>
      <c r="N12" s="284"/>
      <c r="O12" s="316"/>
      <c r="P12" s="40"/>
      <c r="Q12" s="40"/>
      <c r="R12" s="71">
        <f t="shared" si="1"/>
        <v>0</v>
      </c>
    </row>
    <row r="13" spans="1:19" ht="19.5" thickBot="1" x14ac:dyDescent="0.35">
      <c r="A13" s="4" t="s">
        <v>38</v>
      </c>
      <c r="B13" s="42"/>
      <c r="C13" s="42"/>
      <c r="D13" s="42"/>
      <c r="E13" s="42"/>
      <c r="F13" s="40"/>
      <c r="G13" s="40"/>
      <c r="H13" s="40"/>
      <c r="I13" s="56"/>
      <c r="J13" s="40"/>
      <c r="K13" s="56"/>
      <c r="L13" s="284"/>
      <c r="M13" s="284"/>
      <c r="N13" s="284"/>
      <c r="O13" s="316"/>
      <c r="P13" s="40"/>
      <c r="Q13" s="40"/>
      <c r="R13" s="71">
        <f t="shared" si="1"/>
        <v>0</v>
      </c>
    </row>
    <row r="14" spans="1:19" ht="19.5" thickBot="1" x14ac:dyDescent="0.35">
      <c r="Q14" s="8" t="s">
        <v>16</v>
      </c>
      <c r="R14" s="10">
        <f>B3-R3</f>
        <v>24653.51</v>
      </c>
    </row>
    <row r="15" spans="1:19" ht="19.5" thickBot="1" x14ac:dyDescent="0.35">
      <c r="Q15" s="57"/>
      <c r="R15" s="72"/>
    </row>
    <row r="16" spans="1:19" s="76" customFormat="1" ht="38.25" thickBot="1" x14ac:dyDescent="0.25">
      <c r="A16" s="73" t="s">
        <v>41</v>
      </c>
      <c r="B16" s="60">
        <v>0</v>
      </c>
      <c r="C16" s="74" t="s">
        <v>17</v>
      </c>
      <c r="D16" s="75"/>
      <c r="E16" s="75"/>
      <c r="F16" s="61">
        <f t="shared" ref="F16:O16" si="2">SUM(F17:F18)</f>
        <v>0</v>
      </c>
      <c r="G16" s="61">
        <f t="shared" si="2"/>
        <v>0</v>
      </c>
      <c r="H16" s="61">
        <f t="shared" si="2"/>
        <v>0</v>
      </c>
      <c r="I16" s="61">
        <f t="shared" si="2"/>
        <v>0</v>
      </c>
      <c r="J16" s="61">
        <f t="shared" si="2"/>
        <v>0</v>
      </c>
      <c r="K16" s="61">
        <f t="shared" si="2"/>
        <v>0</v>
      </c>
      <c r="L16" s="61">
        <f t="shared" si="2"/>
        <v>0</v>
      </c>
      <c r="M16" s="61">
        <f t="shared" si="2"/>
        <v>0</v>
      </c>
      <c r="N16" s="61">
        <f t="shared" si="2"/>
        <v>0</v>
      </c>
      <c r="O16" s="61">
        <f t="shared" si="2"/>
        <v>0</v>
      </c>
      <c r="P16" s="61">
        <f>SUM(P17:P18)</f>
        <v>0</v>
      </c>
      <c r="Q16" s="61">
        <f>SUM(Q17:Q18)</f>
        <v>0</v>
      </c>
      <c r="R16" s="62">
        <f>SUM(F16:Q16)</f>
        <v>0</v>
      </c>
    </row>
    <row r="17" spans="1:20" ht="18.75" x14ac:dyDescent="0.3">
      <c r="A17" s="68" t="s">
        <v>39</v>
      </c>
      <c r="B17" s="69"/>
      <c r="C17" s="70"/>
      <c r="D17" s="70"/>
      <c r="E17" s="55"/>
      <c r="F17" s="71"/>
      <c r="G17" s="71"/>
      <c r="H17" s="71"/>
      <c r="I17" s="71"/>
      <c r="J17" s="71"/>
      <c r="K17" s="71"/>
      <c r="L17" s="46"/>
      <c r="M17" s="71"/>
      <c r="N17" s="71"/>
      <c r="O17" s="71"/>
      <c r="P17" s="71"/>
      <c r="Q17" s="245"/>
      <c r="R17" s="71">
        <f>SUM(F17:Q17)</f>
        <v>0</v>
      </c>
    </row>
    <row r="18" spans="1:20" ht="19.5" thickBot="1" x14ac:dyDescent="0.35">
      <c r="A18" s="67" t="s">
        <v>40</v>
      </c>
      <c r="B18" s="65"/>
      <c r="C18" s="20"/>
      <c r="D18" s="359"/>
      <c r="E18" s="49"/>
      <c r="F18" s="66"/>
      <c r="G18" s="66"/>
      <c r="H18" s="66"/>
      <c r="I18" s="66"/>
      <c r="J18" s="66"/>
      <c r="K18" s="66"/>
      <c r="L18" s="45"/>
      <c r="M18" s="66"/>
      <c r="N18" s="66"/>
      <c r="O18" s="66"/>
      <c r="P18" s="66"/>
      <c r="Q18" s="314"/>
      <c r="R18" s="66">
        <f>SUM(F18:Q18)</f>
        <v>0</v>
      </c>
    </row>
    <row r="19" spans="1:20" ht="19.5" thickBot="1" x14ac:dyDescent="0.35">
      <c r="Q19" s="8" t="s">
        <v>16</v>
      </c>
      <c r="R19" s="10">
        <f>B16-R16</f>
        <v>0</v>
      </c>
    </row>
    <row r="20" spans="1:20" ht="13.5" thickBot="1" x14ac:dyDescent="0.25"/>
    <row r="21" spans="1:20" ht="19.5" thickBot="1" x14ac:dyDescent="0.35">
      <c r="A21" s="433" t="s">
        <v>23</v>
      </c>
      <c r="B21" s="434">
        <v>0</v>
      </c>
      <c r="C21" s="435" t="s">
        <v>17</v>
      </c>
      <c r="D21" s="436"/>
      <c r="E21" s="436"/>
      <c r="F21" s="437">
        <f>SUM(F22:F23)</f>
        <v>0</v>
      </c>
      <c r="G21" s="437">
        <f t="shared" ref="G21:Q21" si="3">SUM(G22:G23)</f>
        <v>0</v>
      </c>
      <c r="H21" s="437">
        <f t="shared" si="3"/>
        <v>0</v>
      </c>
      <c r="I21" s="437">
        <f t="shared" si="3"/>
        <v>0</v>
      </c>
      <c r="J21" s="437">
        <f t="shared" si="3"/>
        <v>0</v>
      </c>
      <c r="K21" s="437">
        <f t="shared" si="3"/>
        <v>0</v>
      </c>
      <c r="L21" s="437">
        <f t="shared" si="3"/>
        <v>0</v>
      </c>
      <c r="M21" s="437">
        <f t="shared" si="3"/>
        <v>0</v>
      </c>
      <c r="N21" s="437">
        <f t="shared" si="3"/>
        <v>0</v>
      </c>
      <c r="O21" s="437">
        <f t="shared" si="3"/>
        <v>0</v>
      </c>
      <c r="P21" s="437">
        <f t="shared" si="3"/>
        <v>0</v>
      </c>
      <c r="Q21" s="437">
        <f t="shared" si="3"/>
        <v>0</v>
      </c>
      <c r="R21" s="438">
        <f>SUM(F21:Q21)</f>
        <v>0</v>
      </c>
    </row>
    <row r="22" spans="1:20" ht="18.75" x14ac:dyDescent="0.3">
      <c r="A22" s="42" t="s">
        <v>28</v>
      </c>
      <c r="B22" s="42"/>
      <c r="C22" s="42"/>
      <c r="D22" s="42"/>
      <c r="E22" s="42"/>
      <c r="F22" s="38"/>
      <c r="G22" s="38"/>
      <c r="H22" s="38"/>
      <c r="I22" s="53"/>
      <c r="J22" s="38"/>
      <c r="K22" s="56"/>
      <c r="L22" s="40"/>
      <c r="M22" s="56"/>
      <c r="N22" s="38"/>
      <c r="O22" s="38"/>
      <c r="P22" s="38"/>
      <c r="Q22" s="38"/>
      <c r="R22" s="64">
        <f>SUM(F22:Q22)</f>
        <v>0</v>
      </c>
    </row>
    <row r="23" spans="1:20" s="39" customFormat="1" ht="19.5" thickBot="1" x14ac:dyDescent="0.35">
      <c r="A23" s="42" t="s">
        <v>29</v>
      </c>
      <c r="B23" s="42"/>
      <c r="C23" s="42"/>
      <c r="D23" s="42"/>
      <c r="E23" s="42"/>
      <c r="F23" s="38"/>
      <c r="G23" s="38"/>
      <c r="H23" s="38"/>
      <c r="I23" s="56"/>
      <c r="J23" s="38"/>
      <c r="K23" s="56"/>
      <c r="L23" s="40"/>
      <c r="M23" s="56"/>
      <c r="N23" s="38"/>
      <c r="O23" s="38"/>
      <c r="P23" s="38"/>
      <c r="Q23" s="38">
        <v>0</v>
      </c>
      <c r="R23" s="63">
        <f>SUM(F23:Q23)</f>
        <v>0</v>
      </c>
      <c r="T23" s="322"/>
    </row>
    <row r="24" spans="1:20" ht="19.5" thickBot="1" x14ac:dyDescent="0.35">
      <c r="A24" s="9"/>
      <c r="B24" s="15"/>
      <c r="C24" s="16"/>
      <c r="D24" s="16"/>
      <c r="E24" s="16"/>
      <c r="F24" s="17"/>
      <c r="G24" s="17"/>
      <c r="H24" s="18"/>
      <c r="I24" s="19"/>
      <c r="J24" s="17"/>
      <c r="K24" s="17"/>
      <c r="L24" s="17"/>
      <c r="M24" s="17"/>
      <c r="N24" s="17"/>
      <c r="O24" s="17"/>
      <c r="P24" s="17"/>
      <c r="Q24" s="8" t="s">
        <v>16</v>
      </c>
      <c r="R24" s="10">
        <f>B21-R21</f>
        <v>0</v>
      </c>
      <c r="T24" s="92"/>
    </row>
    <row r="25" spans="1:20" ht="19.5" thickBot="1" x14ac:dyDescent="0.35">
      <c r="A25" s="433" t="s">
        <v>24</v>
      </c>
      <c r="B25" s="434">
        <v>2329208.1800000002</v>
      </c>
      <c r="C25" s="435" t="s">
        <v>17</v>
      </c>
      <c r="D25" s="436"/>
      <c r="E25" s="436"/>
      <c r="F25" s="437">
        <f>SUM(F26:F31)</f>
        <v>255637.15</v>
      </c>
      <c r="G25" s="437">
        <f t="shared" ref="G25:Q25" si="4">SUM(G26:G31)</f>
        <v>208603.15</v>
      </c>
      <c r="H25" s="437">
        <f t="shared" si="4"/>
        <v>200896.57</v>
      </c>
      <c r="I25" s="437">
        <f t="shared" si="4"/>
        <v>201637.15</v>
      </c>
      <c r="J25" s="437">
        <f t="shared" si="4"/>
        <v>225359.3</v>
      </c>
      <c r="K25" s="437">
        <f t="shared" si="4"/>
        <v>219178.9</v>
      </c>
      <c r="L25" s="437">
        <f t="shared" si="4"/>
        <v>219178.9</v>
      </c>
      <c r="M25" s="437">
        <f t="shared" si="4"/>
        <v>219178.9</v>
      </c>
      <c r="N25" s="437">
        <f t="shared" si="4"/>
        <v>234178.9</v>
      </c>
      <c r="O25" s="437">
        <f t="shared" si="4"/>
        <v>284178.90000000002</v>
      </c>
      <c r="P25" s="437">
        <f t="shared" si="4"/>
        <v>284178.90000000002</v>
      </c>
      <c r="Q25" s="437">
        <f t="shared" si="4"/>
        <v>284178.90000000002</v>
      </c>
      <c r="R25" s="438">
        <f>SUM(F25:Q25)</f>
        <v>2836385.6199999996</v>
      </c>
      <c r="T25" s="92"/>
    </row>
    <row r="26" spans="1:20" s="277" customFormat="1" ht="18.75" x14ac:dyDescent="0.3">
      <c r="A26" s="12" t="s">
        <v>45</v>
      </c>
      <c r="B26" s="274"/>
      <c r="C26" s="275"/>
      <c r="D26" s="360"/>
      <c r="E26" s="276" t="s">
        <v>46</v>
      </c>
      <c r="F26" s="35">
        <v>4000</v>
      </c>
      <c r="G26" s="35">
        <v>4000</v>
      </c>
      <c r="H26" s="35">
        <f>2400+1600</f>
        <v>4000</v>
      </c>
      <c r="I26" s="35">
        <v>4000</v>
      </c>
      <c r="J26" s="35">
        <v>4000</v>
      </c>
      <c r="K26" s="52">
        <v>4000</v>
      </c>
      <c r="L26" s="52">
        <v>4000</v>
      </c>
      <c r="M26" s="40">
        <v>4000</v>
      </c>
      <c r="N26" s="40">
        <v>4000</v>
      </c>
      <c r="O26" s="40">
        <v>4000</v>
      </c>
      <c r="P26" s="40">
        <v>4000</v>
      </c>
      <c r="Q26" s="40">
        <v>4000</v>
      </c>
      <c r="R26" s="35">
        <f>SUM(F26:Q26)</f>
        <v>48000</v>
      </c>
      <c r="S26" s="520"/>
      <c r="T26" s="321"/>
    </row>
    <row r="27" spans="1:20" s="277" customFormat="1" ht="18.75" x14ac:dyDescent="0.3">
      <c r="A27" s="366" t="s">
        <v>432</v>
      </c>
      <c r="B27" s="42"/>
      <c r="C27" s="42"/>
      <c r="D27" s="42"/>
      <c r="E27" s="89" t="s">
        <v>431</v>
      </c>
      <c r="F27" s="252"/>
      <c r="G27" s="252"/>
      <c r="H27" s="383"/>
      <c r="I27" s="253"/>
      <c r="J27" s="511">
        <v>13722.15</v>
      </c>
      <c r="K27" s="384"/>
      <c r="L27" s="384"/>
      <c r="M27" s="383"/>
      <c r="N27" s="375"/>
      <c r="O27" s="375"/>
      <c r="P27" s="375"/>
      <c r="Q27" s="375"/>
      <c r="R27" s="35">
        <f>SUM(F27:Q27)</f>
        <v>13722.15</v>
      </c>
      <c r="S27" s="520"/>
      <c r="T27" s="321"/>
    </row>
    <row r="28" spans="1:20" s="94" customFormat="1" ht="18.75" x14ac:dyDescent="0.3">
      <c r="A28" s="272" t="s">
        <v>50</v>
      </c>
      <c r="B28" s="273"/>
      <c r="C28" s="20"/>
      <c r="D28" s="70"/>
      <c r="E28" s="55" t="s">
        <v>47</v>
      </c>
      <c r="F28" s="77">
        <v>189000</v>
      </c>
      <c r="G28" s="35">
        <v>156966</v>
      </c>
      <c r="H28" s="35">
        <v>150000</v>
      </c>
      <c r="I28" s="35">
        <v>150000</v>
      </c>
      <c r="J28" s="35">
        <v>160000</v>
      </c>
      <c r="K28" s="52">
        <v>160000</v>
      </c>
      <c r="L28" s="52">
        <v>160000</v>
      </c>
      <c r="M28" s="52">
        <v>160000</v>
      </c>
      <c r="N28" s="52">
        <v>160000</v>
      </c>
      <c r="O28" s="52">
        <v>210000</v>
      </c>
      <c r="P28" s="52">
        <v>210000</v>
      </c>
      <c r="Q28" s="52">
        <v>210000</v>
      </c>
      <c r="R28" s="35">
        <f t="shared" ref="R28:R30" si="5">SUM(F28:Q28)</f>
        <v>2075966</v>
      </c>
      <c r="S28" s="521"/>
      <c r="T28" s="320"/>
    </row>
    <row r="29" spans="1:20" s="94" customFormat="1" ht="18.75" x14ac:dyDescent="0.3">
      <c r="A29" s="272" t="s">
        <v>51</v>
      </c>
      <c r="B29" s="273"/>
      <c r="C29" s="20"/>
      <c r="D29" s="70"/>
      <c r="E29" s="55" t="s">
        <v>48</v>
      </c>
      <c r="F29" s="77">
        <v>17637.150000000001</v>
      </c>
      <c r="G29" s="35">
        <v>17637.150000000001</v>
      </c>
      <c r="H29" s="35">
        <v>16896.57</v>
      </c>
      <c r="I29" s="35">
        <v>17637.150000000001</v>
      </c>
      <c r="J29" s="35">
        <v>17637.150000000001</v>
      </c>
      <c r="K29" s="52">
        <v>25178.9</v>
      </c>
      <c r="L29" s="52">
        <v>25178.9</v>
      </c>
      <c r="M29" s="52">
        <v>25178.9</v>
      </c>
      <c r="N29" s="52">
        <v>25178.9</v>
      </c>
      <c r="O29" s="52">
        <v>25178.9</v>
      </c>
      <c r="P29" s="52">
        <v>25178.9</v>
      </c>
      <c r="Q29" s="52">
        <v>25178.9</v>
      </c>
      <c r="R29" s="35">
        <f t="shared" si="5"/>
        <v>263697.46999999997</v>
      </c>
      <c r="S29" s="521"/>
      <c r="T29" s="320"/>
    </row>
    <row r="30" spans="1:20" s="94" customFormat="1" ht="18.75" x14ac:dyDescent="0.3">
      <c r="A30" s="272" t="s">
        <v>52</v>
      </c>
      <c r="B30" s="273"/>
      <c r="C30" s="20"/>
      <c r="D30" s="70"/>
      <c r="E30" s="55" t="s">
        <v>49</v>
      </c>
      <c r="F30" s="77">
        <v>45000</v>
      </c>
      <c r="G30" s="35">
        <v>30000</v>
      </c>
      <c r="H30" s="35">
        <v>30000</v>
      </c>
      <c r="I30" s="35">
        <v>30000</v>
      </c>
      <c r="J30" s="35">
        <v>30000</v>
      </c>
      <c r="K30" s="52">
        <v>30000</v>
      </c>
      <c r="L30" s="52">
        <v>30000</v>
      </c>
      <c r="M30" s="52">
        <v>30000</v>
      </c>
      <c r="N30" s="52">
        <v>45000</v>
      </c>
      <c r="O30" s="52">
        <v>45000</v>
      </c>
      <c r="P30" s="52">
        <v>45000</v>
      </c>
      <c r="Q30" s="52">
        <v>45000</v>
      </c>
      <c r="R30" s="35">
        <f t="shared" si="5"/>
        <v>435000</v>
      </c>
      <c r="S30" s="521"/>
      <c r="T30" s="321"/>
    </row>
    <row r="31" spans="1:20" ht="19.5" thickBot="1" x14ac:dyDescent="0.35">
      <c r="A31" s="4"/>
      <c r="B31" s="4"/>
      <c r="C31" s="4"/>
      <c r="D31" s="361"/>
      <c r="E31" s="4"/>
      <c r="F31" s="13"/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v>0</v>
      </c>
      <c r="R31" s="40">
        <f t="shared" ref="R31" si="6">SUM(F31:Q31)</f>
        <v>0</v>
      </c>
    </row>
    <row r="32" spans="1:20" ht="19.5" thickBot="1" x14ac:dyDescent="0.35">
      <c r="A32" s="21"/>
      <c r="B32" s="21"/>
      <c r="C32" s="21"/>
      <c r="D32" s="21"/>
      <c r="E32" s="21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8" t="s">
        <v>16</v>
      </c>
      <c r="R32" s="23">
        <f>B25-R25</f>
        <v>-507177.43999999948</v>
      </c>
      <c r="S32" s="54"/>
    </row>
    <row r="33" spans="1:20" ht="19.5" thickBot="1" x14ac:dyDescent="0.35">
      <c r="A33" s="433" t="s">
        <v>25</v>
      </c>
      <c r="B33" s="434">
        <f>17809526.63+35.08+39.1</f>
        <v>17809600.809999999</v>
      </c>
      <c r="C33" s="435" t="s">
        <v>17</v>
      </c>
      <c r="D33" s="436" t="s">
        <v>288</v>
      </c>
      <c r="E33" s="436"/>
      <c r="F33" s="437">
        <f t="shared" ref="F33:Q33" si="7">SUM(F34:F83)</f>
        <v>1919843.3149999999</v>
      </c>
      <c r="G33" s="437">
        <f t="shared" si="7"/>
        <v>1555666.0750000002</v>
      </c>
      <c r="H33" s="437">
        <f t="shared" si="7"/>
        <v>1375648.905</v>
      </c>
      <c r="I33" s="437">
        <f t="shared" si="7"/>
        <v>1284722.0650000002</v>
      </c>
      <c r="J33" s="437">
        <f t="shared" si="7"/>
        <v>2070508.51</v>
      </c>
      <c r="K33" s="437">
        <f t="shared" si="7"/>
        <v>1659502.8150000002</v>
      </c>
      <c r="L33" s="437">
        <f t="shared" si="7"/>
        <v>1538148.3250000002</v>
      </c>
      <c r="M33" s="437">
        <f t="shared" si="7"/>
        <v>1482594.9950000001</v>
      </c>
      <c r="N33" s="437">
        <f t="shared" si="7"/>
        <v>1434717.4600000002</v>
      </c>
      <c r="O33" s="437">
        <f t="shared" si="7"/>
        <v>1591344.3366666669</v>
      </c>
      <c r="P33" s="437">
        <f t="shared" si="7"/>
        <v>1591344.3366666669</v>
      </c>
      <c r="Q33" s="437">
        <f t="shared" si="7"/>
        <v>1591344.3366666669</v>
      </c>
      <c r="R33" s="438">
        <f>SUM(F33:Q33)</f>
        <v>19095385.475000001</v>
      </c>
      <c r="S33" s="43"/>
      <c r="T33" s="323"/>
    </row>
    <row r="34" spans="1:20" s="94" customFormat="1" ht="18.75" x14ac:dyDescent="0.3">
      <c r="A34" s="386" t="s">
        <v>69</v>
      </c>
      <c r="B34" s="387"/>
      <c r="C34" s="388"/>
      <c r="D34" s="388"/>
      <c r="E34" s="389"/>
      <c r="F34" s="261"/>
      <c r="G34" s="261">
        <v>40000</v>
      </c>
      <c r="H34" s="261"/>
      <c r="I34" s="262"/>
      <c r="J34" s="368"/>
      <c r="K34" s="261"/>
      <c r="L34" s="262"/>
      <c r="M34" s="261"/>
      <c r="N34" s="261"/>
      <c r="O34" s="368"/>
      <c r="P34" s="263"/>
      <c r="Q34" s="263"/>
      <c r="R34" s="246">
        <f>SUM(F34:Q34)</f>
        <v>40000</v>
      </c>
      <c r="T34" s="351"/>
    </row>
    <row r="35" spans="1:20" s="94" customFormat="1" ht="18.75" x14ac:dyDescent="0.3">
      <c r="A35" s="367" t="s">
        <v>71</v>
      </c>
      <c r="B35" s="42"/>
      <c r="C35" s="236"/>
      <c r="D35" s="353"/>
      <c r="E35" s="269" t="s">
        <v>70</v>
      </c>
      <c r="F35" s="355">
        <v>107230.8</v>
      </c>
      <c r="H35" s="369"/>
      <c r="I35" s="370"/>
      <c r="J35" s="369"/>
      <c r="K35" s="369"/>
      <c r="L35" s="369"/>
      <c r="M35" s="369"/>
      <c r="N35" s="369"/>
      <c r="O35" s="369"/>
      <c r="P35" s="370"/>
      <c r="Q35" s="370"/>
      <c r="R35" s="246">
        <f>SUM(F35:Q35)</f>
        <v>107230.8</v>
      </c>
      <c r="T35" s="248"/>
    </row>
    <row r="36" spans="1:20" s="264" customFormat="1" ht="18.75" x14ac:dyDescent="0.3">
      <c r="A36" s="352" t="s">
        <v>72</v>
      </c>
      <c r="B36" s="90"/>
      <c r="C36" s="249"/>
      <c r="D36" s="362"/>
      <c r="E36" s="268" t="s">
        <v>423</v>
      </c>
      <c r="F36" s="355"/>
      <c r="G36" s="355"/>
      <c r="H36" s="355"/>
      <c r="I36" s="355">
        <v>50000</v>
      </c>
      <c r="K36" s="355"/>
      <c r="L36" s="371"/>
      <c r="M36" s="372"/>
      <c r="N36" s="369"/>
      <c r="O36" s="369"/>
      <c r="P36" s="370"/>
      <c r="Q36" s="370"/>
      <c r="R36" s="246">
        <f t="shared" ref="R36:R83" si="8">SUM(F36:Q36)</f>
        <v>50000</v>
      </c>
      <c r="T36" s="270"/>
    </row>
    <row r="37" spans="1:20" s="94" customFormat="1" ht="18.75" x14ac:dyDescent="0.3">
      <c r="A37" s="367" t="s">
        <v>73</v>
      </c>
      <c r="B37" s="42"/>
      <c r="C37" s="236"/>
      <c r="D37" s="353"/>
      <c r="E37" s="269" t="s">
        <v>376</v>
      </c>
      <c r="F37" s="355"/>
      <c r="G37" s="355"/>
      <c r="I37" s="355">
        <v>50000</v>
      </c>
      <c r="J37" s="369"/>
      <c r="K37" s="369"/>
      <c r="M37" s="369"/>
      <c r="N37" s="369"/>
      <c r="O37" s="372"/>
      <c r="P37" s="370"/>
      <c r="Q37" s="370"/>
      <c r="R37" s="246">
        <f t="shared" si="8"/>
        <v>50000</v>
      </c>
      <c r="S37" s="260"/>
      <c r="T37" s="248"/>
    </row>
    <row r="38" spans="1:20" s="94" customFormat="1" ht="37.5" x14ac:dyDescent="0.3">
      <c r="A38" s="367" t="s">
        <v>74</v>
      </c>
      <c r="B38" s="42"/>
      <c r="C38" s="236"/>
      <c r="D38" s="353"/>
      <c r="E38" s="269"/>
      <c r="F38" s="373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459">
        <f>SUM(F38:Q38)</f>
        <v>0</v>
      </c>
      <c r="T38" s="248"/>
    </row>
    <row r="39" spans="1:20" s="94" customFormat="1" ht="18.75" x14ac:dyDescent="0.3">
      <c r="A39" s="392" t="s">
        <v>77</v>
      </c>
      <c r="B39" s="387"/>
      <c r="C39" s="390"/>
      <c r="D39" s="390"/>
      <c r="E39" s="393" t="s">
        <v>75</v>
      </c>
      <c r="F39" s="472">
        <f>166666.67/2</f>
        <v>83333.335000000006</v>
      </c>
      <c r="G39" s="472">
        <f>166666.67/2</f>
        <v>83333.335000000006</v>
      </c>
      <c r="H39" s="472">
        <f t="shared" ref="H39:P39" si="9">166666.67/2</f>
        <v>83333.335000000006</v>
      </c>
      <c r="I39" s="472">
        <f t="shared" si="9"/>
        <v>83333.335000000006</v>
      </c>
      <c r="J39" s="472">
        <f t="shared" si="9"/>
        <v>83333.335000000006</v>
      </c>
      <c r="K39" s="390">
        <f t="shared" si="9"/>
        <v>83333.335000000006</v>
      </c>
      <c r="L39" s="390">
        <f t="shared" si="9"/>
        <v>83333.335000000006</v>
      </c>
      <c r="M39" s="390">
        <f t="shared" si="9"/>
        <v>83333.335000000006</v>
      </c>
      <c r="N39" s="390">
        <f t="shared" si="9"/>
        <v>83333.335000000006</v>
      </c>
      <c r="O39" s="390">
        <f t="shared" si="9"/>
        <v>83333.335000000006</v>
      </c>
      <c r="P39" s="390">
        <f t="shared" si="9"/>
        <v>83333.335000000006</v>
      </c>
      <c r="Q39" s="390">
        <f>166666.67/2</f>
        <v>83333.335000000006</v>
      </c>
      <c r="R39" s="246">
        <f>SUM(F39:Q39)</f>
        <v>1000000.0199999999</v>
      </c>
      <c r="S39" s="305"/>
      <c r="T39" s="306"/>
    </row>
    <row r="40" spans="1:20" s="94" customFormat="1" ht="18.75" x14ac:dyDescent="0.3">
      <c r="A40" s="391" t="s">
        <v>273</v>
      </c>
      <c r="B40" s="394"/>
      <c r="C40" s="395"/>
      <c r="D40" s="396"/>
      <c r="E40" s="397" t="s">
        <v>335</v>
      </c>
      <c r="F40" s="376"/>
      <c r="G40" s="376"/>
      <c r="H40" s="472">
        <f>SUM(8164.94*3)+1131.62</f>
        <v>25626.44</v>
      </c>
      <c r="I40" s="472">
        <v>8164.94</v>
      </c>
      <c r="J40" s="472">
        <v>8164.94</v>
      </c>
      <c r="K40" s="376">
        <v>8164.94</v>
      </c>
      <c r="L40" s="376">
        <v>8164.94</v>
      </c>
      <c r="M40" s="376">
        <v>8164.94</v>
      </c>
      <c r="N40" s="376">
        <v>8164.94</v>
      </c>
      <c r="O40" s="376">
        <v>8164.94</v>
      </c>
      <c r="P40" s="376">
        <v>8164.94</v>
      </c>
      <c r="Q40" s="376">
        <v>8164.94</v>
      </c>
      <c r="R40" s="246">
        <f t="shared" si="8"/>
        <v>99110.900000000009</v>
      </c>
      <c r="S40" s="305"/>
      <c r="T40" s="306"/>
    </row>
    <row r="41" spans="1:20" s="94" customFormat="1" ht="37.5" x14ac:dyDescent="0.3">
      <c r="A41" s="367" t="s">
        <v>79</v>
      </c>
      <c r="B41" s="42"/>
      <c r="C41" s="236"/>
      <c r="D41" s="353"/>
      <c r="E41" s="268" t="s">
        <v>348</v>
      </c>
      <c r="F41" s="373"/>
      <c r="G41" s="373">
        <v>36000</v>
      </c>
      <c r="H41" s="373"/>
      <c r="I41" s="362"/>
      <c r="J41" s="373"/>
      <c r="K41" s="373"/>
      <c r="L41" s="373"/>
      <c r="M41" s="373"/>
      <c r="N41" s="373"/>
      <c r="O41" s="374"/>
      <c r="P41" s="375"/>
      <c r="Q41" s="375"/>
      <c r="R41" s="246">
        <f t="shared" si="8"/>
        <v>36000</v>
      </c>
      <c r="T41" s="248"/>
    </row>
    <row r="42" spans="1:20" s="94" customFormat="1" ht="18.75" x14ac:dyDescent="0.3">
      <c r="A42" s="367" t="s">
        <v>312</v>
      </c>
      <c r="B42" s="42"/>
      <c r="C42" s="236"/>
      <c r="D42" s="235"/>
      <c r="E42" s="89" t="s">
        <v>314</v>
      </c>
      <c r="F42" s="373"/>
      <c r="G42" s="373"/>
      <c r="I42" s="253"/>
      <c r="J42" s="377">
        <f>59780.46/4</f>
        <v>14945.115</v>
      </c>
      <c r="K42" s="377"/>
      <c r="L42" s="373"/>
      <c r="N42" s="377">
        <f>59780.46/4</f>
        <v>14945.115</v>
      </c>
      <c r="O42" s="380"/>
      <c r="P42" s="381"/>
      <c r="Q42" s="377"/>
      <c r="R42" s="246">
        <f t="shared" si="8"/>
        <v>29890.23</v>
      </c>
      <c r="T42" s="248"/>
    </row>
    <row r="43" spans="1:20" s="94" customFormat="1" ht="18.75" x14ac:dyDescent="0.3">
      <c r="A43" s="367" t="s">
        <v>19</v>
      </c>
      <c r="B43" s="42"/>
      <c r="C43" s="236"/>
      <c r="D43" s="353"/>
      <c r="E43" s="269" t="s">
        <v>53</v>
      </c>
      <c r="F43" s="373"/>
      <c r="G43" s="373">
        <f>325+1774+1774+1774+1442.7+1774+1774</f>
        <v>10637.7</v>
      </c>
      <c r="H43" s="373">
        <f>1774+1067.4+1611+1159+1159</f>
        <v>6770.4</v>
      </c>
      <c r="I43" s="373">
        <f>52.8+382.5+692.1+135+295.5+295.5+270+270</f>
        <v>2393.4</v>
      </c>
      <c r="J43" s="373">
        <f>637+637+1730+1748.1+1491.3+1748.1+1730+1142.2+148+637+469.29+295.5+130+130+232.5+715.4+715.4+260+715.4+202.5+130+428.1</f>
        <v>16072.79</v>
      </c>
      <c r="K43" s="373"/>
      <c r="L43" s="373"/>
      <c r="M43" s="373"/>
      <c r="N43" s="373"/>
      <c r="O43" s="369"/>
      <c r="P43" s="369"/>
      <c r="Q43" s="369"/>
      <c r="R43" s="246">
        <f t="shared" si="8"/>
        <v>35874.29</v>
      </c>
      <c r="S43" s="306"/>
      <c r="T43" s="248"/>
    </row>
    <row r="44" spans="1:20" s="94" customFormat="1" ht="37.5" x14ac:dyDescent="0.3">
      <c r="A44" s="367" t="s">
        <v>89</v>
      </c>
      <c r="B44" s="42"/>
      <c r="C44" s="236"/>
      <c r="D44" s="353"/>
      <c r="E44" s="268" t="s">
        <v>80</v>
      </c>
      <c r="F44" s="373">
        <v>7342.22</v>
      </c>
      <c r="G44" s="373">
        <v>7342.22</v>
      </c>
      <c r="H44" s="373">
        <v>7342.22</v>
      </c>
      <c r="I44" s="373">
        <f>4894.81+3528+244.74</f>
        <v>8667.5500000000011</v>
      </c>
      <c r="J44" s="373">
        <v>11760</v>
      </c>
      <c r="K44" s="377">
        <v>11760</v>
      </c>
      <c r="L44" s="377">
        <v>11760</v>
      </c>
      <c r="M44" s="377">
        <v>11760</v>
      </c>
      <c r="N44" s="377">
        <v>11760</v>
      </c>
      <c r="O44" s="377">
        <v>11760</v>
      </c>
      <c r="P44" s="377">
        <v>11760</v>
      </c>
      <c r="Q44" s="377">
        <v>11760</v>
      </c>
      <c r="R44" s="246">
        <f t="shared" si="8"/>
        <v>124774.20999999999</v>
      </c>
      <c r="T44" s="248"/>
    </row>
    <row r="45" spans="1:20" s="94" customFormat="1" ht="37.5" x14ac:dyDescent="0.3">
      <c r="A45" s="367" t="s">
        <v>90</v>
      </c>
      <c r="B45" s="42"/>
      <c r="C45" s="236"/>
      <c r="D45" s="353"/>
      <c r="E45" s="268" t="s">
        <v>82</v>
      </c>
      <c r="F45" s="373"/>
      <c r="G45" s="373"/>
      <c r="H45" s="373"/>
      <c r="I45" s="362"/>
      <c r="J45" s="373"/>
      <c r="K45" s="373"/>
      <c r="L45" s="378"/>
      <c r="M45" s="362">
        <v>17400</v>
      </c>
      <c r="N45" s="377"/>
      <c r="O45" s="374"/>
      <c r="P45" s="375"/>
      <c r="Q45" s="375"/>
      <c r="R45" s="246">
        <f t="shared" si="8"/>
        <v>17400</v>
      </c>
      <c r="S45" s="345"/>
      <c r="T45" s="346"/>
    </row>
    <row r="46" spans="1:20" s="94" customFormat="1" ht="18.75" x14ac:dyDescent="0.3">
      <c r="A46" s="367" t="s">
        <v>107</v>
      </c>
      <c r="B46" s="42"/>
      <c r="C46" s="236"/>
      <c r="D46" s="353"/>
      <c r="E46" s="269" t="s">
        <v>83</v>
      </c>
      <c r="F46" s="373">
        <v>15000</v>
      </c>
      <c r="G46" s="373">
        <v>15000</v>
      </c>
      <c r="H46" s="377"/>
      <c r="I46" s="373">
        <v>15000</v>
      </c>
      <c r="J46" s="377"/>
      <c r="K46" s="377">
        <v>15000</v>
      </c>
      <c r="L46" s="377">
        <v>15000</v>
      </c>
      <c r="M46" s="377">
        <v>15000</v>
      </c>
      <c r="N46" s="377">
        <v>15000</v>
      </c>
      <c r="O46" s="377">
        <v>15000</v>
      </c>
      <c r="P46" s="377">
        <v>15000</v>
      </c>
      <c r="Q46" s="377">
        <v>15000</v>
      </c>
      <c r="R46" s="246">
        <f t="shared" si="8"/>
        <v>150000</v>
      </c>
      <c r="T46" s="248"/>
    </row>
    <row r="47" spans="1:20" s="94" customFormat="1" ht="18.75" x14ac:dyDescent="0.3">
      <c r="A47" s="367" t="s">
        <v>66</v>
      </c>
      <c r="B47" s="42"/>
      <c r="C47" s="236"/>
      <c r="D47" s="353"/>
      <c r="E47" s="269" t="s">
        <v>84</v>
      </c>
      <c r="F47" s="373">
        <v>129534.08</v>
      </c>
      <c r="G47" s="373">
        <v>129534.08</v>
      </c>
      <c r="H47" s="373">
        <v>129534.08</v>
      </c>
      <c r="I47" s="373">
        <v>129534.08</v>
      </c>
      <c r="J47" s="373">
        <v>129534.08</v>
      </c>
      <c r="K47" s="377">
        <v>129534.08</v>
      </c>
      <c r="L47" s="377">
        <v>129534.08</v>
      </c>
      <c r="M47" s="377">
        <v>129534.08</v>
      </c>
      <c r="N47" s="377">
        <v>129534.08</v>
      </c>
      <c r="O47" s="410"/>
      <c r="P47" s="373"/>
      <c r="Q47" s="373"/>
      <c r="R47" s="246">
        <f t="shared" si="8"/>
        <v>1165806.72</v>
      </c>
      <c r="T47" s="248"/>
    </row>
    <row r="48" spans="1:20" s="94" customFormat="1" ht="18.75" x14ac:dyDescent="0.3">
      <c r="A48" s="367" t="s">
        <v>108</v>
      </c>
      <c r="B48" s="42"/>
      <c r="C48" s="236"/>
      <c r="D48" s="353"/>
      <c r="E48" s="269" t="s">
        <v>85</v>
      </c>
      <c r="F48" s="373">
        <v>396416.38</v>
      </c>
      <c r="G48" s="373">
        <v>172479.08</v>
      </c>
      <c r="H48" s="373">
        <v>149584.98000000001</v>
      </c>
      <c r="I48" s="377"/>
      <c r="J48" s="373">
        <v>368774</v>
      </c>
      <c r="K48" s="377">
        <v>141659.67000000001</v>
      </c>
      <c r="L48" s="377">
        <v>117898.52</v>
      </c>
      <c r="M48" s="377">
        <f>117898.52-71521.49</f>
        <v>46377.03</v>
      </c>
      <c r="N48" s="377"/>
      <c r="O48" s="353"/>
      <c r="P48" s="353"/>
      <c r="Q48" s="353"/>
      <c r="R48" s="246">
        <f t="shared" si="8"/>
        <v>1393189.66</v>
      </c>
      <c r="S48" s="306"/>
      <c r="T48" s="248"/>
    </row>
    <row r="49" spans="1:21" s="264" customFormat="1" ht="18.75" x14ac:dyDescent="0.3">
      <c r="A49" s="352" t="s">
        <v>109</v>
      </c>
      <c r="B49" s="90"/>
      <c r="C49" s="249"/>
      <c r="D49" s="362"/>
      <c r="E49" s="268" t="s">
        <v>86</v>
      </c>
      <c r="F49" s="373">
        <v>41309.32</v>
      </c>
      <c r="G49" s="373">
        <v>41309.32</v>
      </c>
      <c r="H49" s="373">
        <v>41309.32</v>
      </c>
      <c r="I49" s="373">
        <v>41309.32</v>
      </c>
      <c r="J49" s="373">
        <v>41309.32</v>
      </c>
      <c r="K49" s="377">
        <v>41309.32</v>
      </c>
      <c r="L49" s="377">
        <v>41309.32</v>
      </c>
      <c r="M49" s="377">
        <v>41309.32</v>
      </c>
      <c r="N49" s="362">
        <v>41309.32</v>
      </c>
      <c r="O49" s="362">
        <v>41309.32</v>
      </c>
      <c r="P49" s="362">
        <v>41309.32</v>
      </c>
      <c r="Q49" s="362">
        <v>41309.32</v>
      </c>
      <c r="R49" s="246">
        <f t="shared" si="8"/>
        <v>495711.84</v>
      </c>
      <c r="S49" s="348"/>
      <c r="T49" s="270"/>
    </row>
    <row r="50" spans="1:21" s="94" customFormat="1" ht="18.75" x14ac:dyDescent="0.3">
      <c r="A50" s="367" t="s">
        <v>110</v>
      </c>
      <c r="B50" s="42"/>
      <c r="C50" s="236"/>
      <c r="D50" s="353"/>
      <c r="E50" s="269" t="s">
        <v>87</v>
      </c>
      <c r="F50" s="373">
        <v>48423.12</v>
      </c>
      <c r="G50" s="373">
        <v>48423.12</v>
      </c>
      <c r="H50" s="373">
        <v>48423.12</v>
      </c>
      <c r="I50" s="373">
        <v>48423.12</v>
      </c>
      <c r="J50" s="373">
        <v>48423.12</v>
      </c>
      <c r="K50" s="377">
        <v>48423.12</v>
      </c>
      <c r="L50" s="377">
        <v>48423.12</v>
      </c>
      <c r="M50" s="377">
        <v>48423.12</v>
      </c>
      <c r="N50" s="377">
        <v>48423.12</v>
      </c>
      <c r="O50" s="377">
        <v>48423.12</v>
      </c>
      <c r="P50" s="377">
        <v>48423.12</v>
      </c>
      <c r="Q50" s="377">
        <v>48423.12</v>
      </c>
      <c r="R50" s="246">
        <f t="shared" si="8"/>
        <v>581077.44000000006</v>
      </c>
      <c r="T50" s="248"/>
    </row>
    <row r="51" spans="1:21" s="94" customFormat="1" ht="18.75" x14ac:dyDescent="0.3">
      <c r="A51" s="367" t="s">
        <v>132</v>
      </c>
      <c r="B51" s="42"/>
      <c r="C51" s="236"/>
      <c r="D51" s="353"/>
      <c r="E51" s="269" t="s">
        <v>112</v>
      </c>
      <c r="F51" s="373">
        <v>3022.6</v>
      </c>
      <c r="G51" s="373">
        <v>3022.6</v>
      </c>
      <c r="H51" s="373">
        <v>3022.6</v>
      </c>
      <c r="I51" s="373">
        <v>3022.6</v>
      </c>
      <c r="J51" s="373">
        <v>3022.6</v>
      </c>
      <c r="K51" s="377">
        <v>3022.6</v>
      </c>
      <c r="L51" s="377">
        <v>3022.6</v>
      </c>
      <c r="M51" s="377">
        <v>3022.6</v>
      </c>
      <c r="N51" s="377">
        <v>3022.6</v>
      </c>
      <c r="O51" s="377">
        <v>3022.6</v>
      </c>
      <c r="P51" s="377">
        <v>3022.6</v>
      </c>
      <c r="Q51" s="377">
        <v>3022.6</v>
      </c>
      <c r="R51" s="246">
        <f t="shared" si="8"/>
        <v>36271.19999999999</v>
      </c>
      <c r="S51" s="345"/>
      <c r="T51" s="248"/>
    </row>
    <row r="52" spans="1:21" s="264" customFormat="1" ht="18.75" x14ac:dyDescent="0.3">
      <c r="A52" s="352" t="s">
        <v>133</v>
      </c>
      <c r="B52" s="90"/>
      <c r="C52" s="249"/>
      <c r="D52" s="362"/>
      <c r="E52" s="268" t="s">
        <v>113</v>
      </c>
      <c r="F52" s="373">
        <v>147103.57</v>
      </c>
      <c r="G52" s="373">
        <v>147103.57</v>
      </c>
      <c r="H52" s="373">
        <v>147103.57</v>
      </c>
      <c r="I52" s="373">
        <v>147103.57</v>
      </c>
      <c r="J52" s="373">
        <v>147103.57</v>
      </c>
      <c r="K52" s="377">
        <f>147103.57+50679.5</f>
        <v>197783.07</v>
      </c>
      <c r="L52" s="377">
        <v>147103.57</v>
      </c>
      <c r="M52" s="362">
        <v>147103.57</v>
      </c>
      <c r="N52" s="362">
        <v>147103.57</v>
      </c>
      <c r="O52" s="362">
        <v>147103.57</v>
      </c>
      <c r="P52" s="362">
        <v>147103.57</v>
      </c>
      <c r="Q52" s="362">
        <v>147103.57</v>
      </c>
      <c r="R52" s="246">
        <f t="shared" si="8"/>
        <v>1815922.3400000005</v>
      </c>
      <c r="S52" s="248"/>
      <c r="T52" s="270"/>
    </row>
    <row r="53" spans="1:21" s="264" customFormat="1" ht="37.5" x14ac:dyDescent="0.3">
      <c r="A53" s="352" t="s">
        <v>134</v>
      </c>
      <c r="B53" s="90"/>
      <c r="C53" s="249"/>
      <c r="D53" s="362"/>
      <c r="E53" s="268" t="s">
        <v>114</v>
      </c>
      <c r="F53" s="373">
        <v>1102.53</v>
      </c>
      <c r="G53" s="373">
        <v>1102.53</v>
      </c>
      <c r="H53" s="373">
        <v>1102.53</v>
      </c>
      <c r="I53" s="373">
        <v>1102.53</v>
      </c>
      <c r="J53" s="377"/>
      <c r="K53" s="377">
        <v>1102.53</v>
      </c>
      <c r="L53" s="377">
        <v>1102.53</v>
      </c>
      <c r="M53" s="377">
        <v>1102.53</v>
      </c>
      <c r="N53" s="377">
        <v>1102.53</v>
      </c>
      <c r="O53" s="362">
        <v>1102.53</v>
      </c>
      <c r="P53" s="362">
        <v>1102.53</v>
      </c>
      <c r="Q53" s="362">
        <v>1102.53</v>
      </c>
      <c r="R53" s="246">
        <f t="shared" si="8"/>
        <v>12127.830000000002</v>
      </c>
      <c r="S53" s="248"/>
      <c r="T53" s="270"/>
      <c r="U53" s="271"/>
    </row>
    <row r="54" spans="1:21" s="94" customFormat="1" ht="18.75" x14ac:dyDescent="0.3">
      <c r="A54" s="367" t="s">
        <v>136</v>
      </c>
      <c r="B54" s="42"/>
      <c r="C54" s="236"/>
      <c r="D54" s="353"/>
      <c r="E54" s="269" t="s">
        <v>116</v>
      </c>
      <c r="F54" s="373">
        <v>4870.6400000000003</v>
      </c>
      <c r="G54" s="373">
        <v>4870.6400000000003</v>
      </c>
      <c r="H54" s="373">
        <v>4870.6400000000003</v>
      </c>
      <c r="I54" s="373">
        <v>4870.6400000000003</v>
      </c>
      <c r="J54" s="373">
        <v>4870.6400000000003</v>
      </c>
      <c r="K54" s="377">
        <v>4870.6400000000003</v>
      </c>
      <c r="L54" s="377">
        <v>4870.6400000000003</v>
      </c>
      <c r="M54" s="377">
        <v>4870.6400000000003</v>
      </c>
      <c r="N54" s="377">
        <v>4870.6400000000003</v>
      </c>
      <c r="O54" s="377">
        <v>4870.6400000000003</v>
      </c>
      <c r="P54" s="377">
        <v>4870.6400000000003</v>
      </c>
      <c r="Q54" s="377">
        <v>4870.6400000000003</v>
      </c>
      <c r="R54" s="246">
        <f t="shared" si="8"/>
        <v>58447.68</v>
      </c>
      <c r="T54" s="248"/>
    </row>
    <row r="55" spans="1:21" s="264" customFormat="1" ht="18.75" x14ac:dyDescent="0.3">
      <c r="A55" s="352" t="s">
        <v>137</v>
      </c>
      <c r="B55" s="90"/>
      <c r="C55" s="249"/>
      <c r="D55" s="362"/>
      <c r="E55" s="268" t="s">
        <v>117</v>
      </c>
      <c r="F55" s="373">
        <v>27260.1</v>
      </c>
      <c r="G55" s="373">
        <v>27260.1</v>
      </c>
      <c r="H55" s="373">
        <v>27260.1</v>
      </c>
      <c r="I55" s="373">
        <v>27260.1</v>
      </c>
      <c r="J55" s="373">
        <v>27260.1</v>
      </c>
      <c r="K55" s="377">
        <v>27260.1</v>
      </c>
      <c r="L55" s="377">
        <v>27260.1</v>
      </c>
      <c r="M55" s="377">
        <v>27260.1</v>
      </c>
      <c r="N55" s="362">
        <v>27260.1</v>
      </c>
      <c r="O55" s="362">
        <v>27260.1</v>
      </c>
      <c r="P55" s="362">
        <v>27260.1</v>
      </c>
      <c r="Q55" s="362">
        <v>27260.1</v>
      </c>
      <c r="R55" s="246">
        <f t="shared" si="8"/>
        <v>327121.19999999995</v>
      </c>
      <c r="T55" s="270"/>
    </row>
    <row r="56" spans="1:21" s="264" customFormat="1" ht="37.5" x14ac:dyDescent="0.2">
      <c r="A56" s="352" t="s">
        <v>138</v>
      </c>
      <c r="B56" s="90"/>
      <c r="C56" s="249"/>
      <c r="D56" s="362"/>
      <c r="E56" s="268" t="s">
        <v>118</v>
      </c>
      <c r="F56" s="373">
        <v>40581.699999999997</v>
      </c>
      <c r="G56" s="373">
        <v>40581.699999999997</v>
      </c>
      <c r="H56" s="373">
        <v>40581.699999999997</v>
      </c>
      <c r="I56" s="379">
        <v>40581.699999999997</v>
      </c>
      <c r="J56" s="373">
        <v>40581.699999999997</v>
      </c>
      <c r="K56" s="377">
        <v>40581.699999999997</v>
      </c>
      <c r="L56" s="377">
        <v>40581.699999999997</v>
      </c>
      <c r="M56" s="377">
        <v>40581.699999999997</v>
      </c>
      <c r="N56" s="377">
        <v>40581.699999999997</v>
      </c>
      <c r="O56" s="362">
        <v>40581.699999999997</v>
      </c>
      <c r="P56" s="362">
        <v>40581.699999999997</v>
      </c>
      <c r="Q56" s="362">
        <v>40581.699999999997</v>
      </c>
      <c r="R56" s="459">
        <f t="shared" si="8"/>
        <v>486980.40000000008</v>
      </c>
      <c r="T56" s="347"/>
    </row>
    <row r="57" spans="1:21" s="94" customFormat="1" ht="18.75" x14ac:dyDescent="0.3">
      <c r="A57" s="367" t="s">
        <v>140</v>
      </c>
      <c r="B57" s="42"/>
      <c r="C57" s="236"/>
      <c r="D57" s="353"/>
      <c r="E57" s="269" t="s">
        <v>120</v>
      </c>
      <c r="F57" s="373">
        <v>4237.3999999999996</v>
      </c>
      <c r="G57" s="373">
        <v>4237.3999999999996</v>
      </c>
      <c r="H57" s="373">
        <v>4237.3999999999996</v>
      </c>
      <c r="I57" s="373">
        <v>4237.3999999999996</v>
      </c>
      <c r="J57" s="373">
        <v>4237.3999999999996</v>
      </c>
      <c r="K57" s="377">
        <v>4237.3999999999996</v>
      </c>
      <c r="L57" s="377">
        <v>4237.3999999999996</v>
      </c>
      <c r="M57" s="377">
        <v>4237.3999999999996</v>
      </c>
      <c r="N57" s="377">
        <v>4237.3999999999996</v>
      </c>
      <c r="O57" s="362">
        <v>4237.3999999999996</v>
      </c>
      <c r="P57" s="362">
        <v>4237.3999999999996</v>
      </c>
      <c r="Q57" s="362">
        <v>4237.3999999999996</v>
      </c>
      <c r="R57" s="459">
        <f t="shared" si="8"/>
        <v>50848.80000000001</v>
      </c>
      <c r="S57" s="345"/>
      <c r="T57" s="248"/>
    </row>
    <row r="58" spans="1:21" s="94" customFormat="1" ht="37.5" x14ac:dyDescent="0.3">
      <c r="A58" s="367" t="s">
        <v>142</v>
      </c>
      <c r="B58" s="42"/>
      <c r="C58" s="236"/>
      <c r="D58" s="353"/>
      <c r="E58" s="269" t="s">
        <v>122</v>
      </c>
      <c r="F58" s="373">
        <v>4272.33</v>
      </c>
      <c r="G58" s="373">
        <v>4272.33</v>
      </c>
      <c r="H58" s="373">
        <v>4272.33</v>
      </c>
      <c r="I58" s="373">
        <v>4272.33</v>
      </c>
      <c r="J58" s="373">
        <v>4272.33</v>
      </c>
      <c r="K58" s="377">
        <v>4272.33</v>
      </c>
      <c r="L58" s="377">
        <v>4272.33</v>
      </c>
      <c r="M58" s="362">
        <v>4272.33</v>
      </c>
      <c r="N58" s="362">
        <v>4272.33</v>
      </c>
      <c r="O58" s="362">
        <v>4272.33</v>
      </c>
      <c r="P58" s="362">
        <v>4272.33</v>
      </c>
      <c r="Q58" s="362">
        <v>4272.33</v>
      </c>
      <c r="R58" s="459">
        <f t="shared" si="8"/>
        <v>51267.960000000014</v>
      </c>
      <c r="T58" s="248"/>
    </row>
    <row r="59" spans="1:21" s="264" customFormat="1" ht="18.75" x14ac:dyDescent="0.2">
      <c r="A59" s="352" t="s">
        <v>143</v>
      </c>
      <c r="B59" s="90"/>
      <c r="C59" s="249"/>
      <c r="D59" s="362"/>
      <c r="E59" s="268" t="s">
        <v>123</v>
      </c>
      <c r="F59" s="373">
        <v>11285.81</v>
      </c>
      <c r="G59" s="373">
        <v>11285.81</v>
      </c>
      <c r="H59" s="373">
        <v>11285.81</v>
      </c>
      <c r="I59" s="373">
        <v>11285.81</v>
      </c>
      <c r="J59" s="373">
        <v>11285.81</v>
      </c>
      <c r="K59" s="377">
        <v>11285.81</v>
      </c>
      <c r="L59" s="377">
        <v>11285.81</v>
      </c>
      <c r="M59" s="377">
        <v>11285.81</v>
      </c>
      <c r="N59" s="377">
        <v>11285.81</v>
      </c>
      <c r="O59" s="377">
        <v>11285.81</v>
      </c>
      <c r="P59" s="377">
        <v>11285.81</v>
      </c>
      <c r="Q59" s="377">
        <v>11285.81</v>
      </c>
      <c r="R59" s="459">
        <f t="shared" si="8"/>
        <v>135429.72</v>
      </c>
      <c r="S59" s="345"/>
      <c r="T59" s="348"/>
    </row>
    <row r="60" spans="1:21" s="94" customFormat="1" ht="37.5" x14ac:dyDescent="0.3">
      <c r="A60" s="367" t="s">
        <v>144</v>
      </c>
      <c r="B60" s="42"/>
      <c r="C60" s="236"/>
      <c r="D60" s="353"/>
      <c r="E60" s="269" t="s">
        <v>124</v>
      </c>
      <c r="F60" s="373">
        <v>412000</v>
      </c>
      <c r="G60" s="373">
        <v>317000</v>
      </c>
      <c r="H60" s="373">
        <v>337000</v>
      </c>
      <c r="I60" s="373">
        <v>370000</v>
      </c>
      <c r="J60" s="373">
        <v>350000</v>
      </c>
      <c r="K60" s="377">
        <f>247200+61800</f>
        <v>309000</v>
      </c>
      <c r="L60" s="377">
        <v>412000</v>
      </c>
      <c r="M60" s="377">
        <v>412000</v>
      </c>
      <c r="N60" s="377">
        <v>412000</v>
      </c>
      <c r="O60" s="377">
        <v>412000</v>
      </c>
      <c r="P60" s="377">
        <v>412000</v>
      </c>
      <c r="Q60" s="377">
        <v>412000</v>
      </c>
      <c r="R60" s="459">
        <f t="shared" si="8"/>
        <v>4567000</v>
      </c>
      <c r="S60" s="306"/>
      <c r="T60" s="349"/>
    </row>
    <row r="61" spans="1:21" s="94" customFormat="1" ht="18.75" x14ac:dyDescent="0.3">
      <c r="A61" s="367" t="s">
        <v>145</v>
      </c>
      <c r="B61" s="42"/>
      <c r="C61" s="236"/>
      <c r="D61" s="353"/>
      <c r="E61" s="269" t="s">
        <v>125</v>
      </c>
      <c r="F61" s="373">
        <v>186477.46</v>
      </c>
      <c r="G61" s="373">
        <v>186477.46</v>
      </c>
      <c r="H61" s="373">
        <v>186477.46</v>
      </c>
      <c r="I61" s="373">
        <v>62292.54</v>
      </c>
      <c r="J61" s="373">
        <v>186477.46</v>
      </c>
      <c r="K61" s="377">
        <v>186477.46</v>
      </c>
      <c r="L61" s="377">
        <v>186477.46</v>
      </c>
      <c r="M61" s="377">
        <v>174045.62</v>
      </c>
      <c r="N61" s="373"/>
      <c r="O61" s="373"/>
      <c r="P61" s="373"/>
      <c r="Q61" s="373"/>
      <c r="R61" s="459">
        <f t="shared" si="8"/>
        <v>1355202.92</v>
      </c>
      <c r="T61" s="306"/>
    </row>
    <row r="62" spans="1:21" s="94" customFormat="1" ht="37.5" x14ac:dyDescent="0.3">
      <c r="A62" s="367" t="s">
        <v>146</v>
      </c>
      <c r="B62" s="42"/>
      <c r="C62" s="236"/>
      <c r="D62" s="353"/>
      <c r="E62" s="269" t="s">
        <v>126</v>
      </c>
      <c r="F62" s="373">
        <v>43750.87</v>
      </c>
      <c r="G62" s="373">
        <v>43750.87</v>
      </c>
      <c r="H62" s="373">
        <v>43750.87</v>
      </c>
      <c r="I62" s="373">
        <v>43750.87</v>
      </c>
      <c r="J62" s="373">
        <v>43750.87</v>
      </c>
      <c r="K62" s="377">
        <v>43750.87</v>
      </c>
      <c r="L62" s="377">
        <v>43750.87</v>
      </c>
      <c r="M62" s="377">
        <v>43750.87</v>
      </c>
      <c r="N62" s="377">
        <v>43750.87</v>
      </c>
      <c r="O62" s="362">
        <v>43750.87</v>
      </c>
      <c r="P62" s="362">
        <v>43750.87</v>
      </c>
      <c r="Q62" s="362">
        <v>43750.87</v>
      </c>
      <c r="R62" s="459">
        <f t="shared" si="8"/>
        <v>525010.44000000006</v>
      </c>
      <c r="S62" s="350"/>
      <c r="T62" s="306"/>
    </row>
    <row r="63" spans="1:21" s="264" customFormat="1" ht="56.25" x14ac:dyDescent="0.2">
      <c r="A63" s="352" t="s">
        <v>313</v>
      </c>
      <c r="B63" s="90"/>
      <c r="C63" s="249"/>
      <c r="D63" s="362"/>
      <c r="E63" s="268" t="s">
        <v>126</v>
      </c>
      <c r="F63" s="373">
        <v>25000</v>
      </c>
      <c r="G63" s="373">
        <v>25000</v>
      </c>
      <c r="H63" s="373">
        <v>25000</v>
      </c>
      <c r="I63" s="373">
        <v>25000</v>
      </c>
      <c r="J63" s="377"/>
      <c r="K63" s="377">
        <v>25000</v>
      </c>
      <c r="L63" s="377">
        <v>25000</v>
      </c>
      <c r="M63" s="377">
        <v>25000</v>
      </c>
      <c r="N63" s="377">
        <v>25000</v>
      </c>
      <c r="O63" s="373"/>
      <c r="P63" s="378"/>
      <c r="Q63" s="377"/>
      <c r="R63" s="459">
        <f t="shared" si="8"/>
        <v>200000</v>
      </c>
      <c r="S63" s="345"/>
      <c r="T63" s="270"/>
    </row>
    <row r="64" spans="1:21" s="264" customFormat="1" ht="18.75" x14ac:dyDescent="0.2">
      <c r="A64" s="352" t="s">
        <v>67</v>
      </c>
      <c r="B64" s="90"/>
      <c r="C64" s="249"/>
      <c r="D64" s="362"/>
      <c r="E64" s="268" t="s">
        <v>129</v>
      </c>
      <c r="F64" s="373">
        <v>70529.05</v>
      </c>
      <c r="G64" s="377"/>
      <c r="H64" s="377"/>
      <c r="I64" s="377"/>
      <c r="J64" s="377"/>
      <c r="K64" s="377">
        <v>48000</v>
      </c>
      <c r="L64" s="377">
        <v>48000</v>
      </c>
      <c r="M64" s="377">
        <v>48000</v>
      </c>
      <c r="N64" s="377">
        <v>48000</v>
      </c>
      <c r="O64" s="377">
        <v>48000</v>
      </c>
      <c r="P64" s="377">
        <v>48000</v>
      </c>
      <c r="Q64" s="377">
        <v>48000</v>
      </c>
      <c r="R64" s="459">
        <f t="shared" si="8"/>
        <v>406529.05</v>
      </c>
      <c r="T64" s="270"/>
    </row>
    <row r="65" spans="1:20" s="94" customFormat="1" ht="56.25" x14ac:dyDescent="0.3">
      <c r="A65" s="367" t="s">
        <v>150</v>
      </c>
      <c r="B65" s="42"/>
      <c r="C65" s="236"/>
      <c r="D65" s="353"/>
      <c r="E65" s="268" t="s">
        <v>130</v>
      </c>
      <c r="F65" s="373">
        <v>109760</v>
      </c>
      <c r="G65" s="373">
        <v>9437.1</v>
      </c>
      <c r="H65" s="373">
        <v>109760</v>
      </c>
      <c r="I65" s="373">
        <v>20000</v>
      </c>
      <c r="J65" s="373">
        <v>60000</v>
      </c>
      <c r="K65" s="377">
        <v>109760</v>
      </c>
      <c r="L65" s="377">
        <v>109760</v>
      </c>
      <c r="M65" s="377">
        <v>109760</v>
      </c>
      <c r="N65" s="377">
        <v>109760</v>
      </c>
      <c r="O65" s="377">
        <v>109760</v>
      </c>
      <c r="P65" s="377">
        <v>109760</v>
      </c>
      <c r="Q65" s="377">
        <v>109760</v>
      </c>
      <c r="R65" s="459">
        <f t="shared" si="8"/>
        <v>1077277.1000000001</v>
      </c>
      <c r="T65" s="248"/>
    </row>
    <row r="66" spans="1:20" s="264" customFormat="1" ht="18.75" x14ac:dyDescent="0.3">
      <c r="A66" s="352" t="s">
        <v>68</v>
      </c>
      <c r="B66" s="90"/>
      <c r="C66" s="249"/>
      <c r="D66" s="362"/>
      <c r="E66" s="268" t="s">
        <v>311</v>
      </c>
      <c r="F66" s="373"/>
      <c r="G66" s="475"/>
      <c r="H66" s="475"/>
      <c r="I66" s="475"/>
      <c r="J66" s="475"/>
      <c r="K66" s="377">
        <v>122813.84</v>
      </c>
      <c r="L66" s="373"/>
      <c r="M66" s="382"/>
      <c r="N66" s="373"/>
      <c r="O66" s="356"/>
      <c r="P66" s="375"/>
      <c r="Q66" s="375"/>
      <c r="R66" s="459">
        <f t="shared" si="8"/>
        <v>122813.84</v>
      </c>
      <c r="T66" s="270"/>
    </row>
    <row r="67" spans="1:20" s="264" customFormat="1" ht="18.75" x14ac:dyDescent="0.3">
      <c r="A67" s="357" t="s">
        <v>18</v>
      </c>
      <c r="B67" s="90"/>
      <c r="C67" s="90"/>
      <c r="D67" s="90"/>
      <c r="E67" s="358" t="s">
        <v>53</v>
      </c>
      <c r="F67" s="385"/>
      <c r="G67" s="385">
        <f>SUM(5000)+Adiantamentos!J26+Adiantamentos!J27+Adiantamentos!J28+Adiantamentos!J29+Adiantamentos!J32+Adiantamentos!J33+Adiantamentos!J37+Adiantamentos!J30+Adiantamentos!J31</f>
        <v>65465.11</v>
      </c>
      <c r="H67" s="385"/>
      <c r="I67" s="385">
        <f>Adiantamentos!J39+Adiantamentos!J38+Adiantamentos!J41+Adiantamentos!J42+Adiantamentos!J41+Adiantamentos!J42-Adiantamentos!L26-Adiantamentos!L27-Adiantamentos!L28</f>
        <v>34644.230000000003</v>
      </c>
      <c r="J67" s="385">
        <f>-Adiantamentos!L37-Adiantamentos!L29</f>
        <v>-530.66999999999996</v>
      </c>
      <c r="K67" s="385"/>
      <c r="L67" s="385"/>
      <c r="M67" s="385"/>
      <c r="N67" s="385"/>
      <c r="O67" s="385"/>
      <c r="P67" s="35"/>
      <c r="Q67" s="40"/>
      <c r="R67" s="459">
        <f t="shared" si="8"/>
        <v>99578.67</v>
      </c>
    </row>
    <row r="68" spans="1:20" s="264" customFormat="1" ht="37.5" x14ac:dyDescent="0.3">
      <c r="A68" s="474" t="s">
        <v>135</v>
      </c>
      <c r="B68" s="42"/>
      <c r="C68" s="236"/>
      <c r="D68" s="353"/>
      <c r="E68" s="268" t="s">
        <v>115</v>
      </c>
      <c r="F68" s="475"/>
      <c r="G68" s="373">
        <v>2370</v>
      </c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459">
        <f>SUM(G68:Q68)</f>
        <v>2370</v>
      </c>
    </row>
    <row r="69" spans="1:20" s="264" customFormat="1" ht="18.75" x14ac:dyDescent="0.3">
      <c r="A69" s="474" t="s">
        <v>88</v>
      </c>
      <c r="B69" s="42"/>
      <c r="C69" s="236"/>
      <c r="D69" s="353"/>
      <c r="E69" s="269" t="s">
        <v>81</v>
      </c>
      <c r="F69" s="475"/>
      <c r="G69" s="373">
        <v>2370</v>
      </c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459">
        <f>SUM(G69:Q69)</f>
        <v>2370</v>
      </c>
    </row>
    <row r="70" spans="1:20" s="264" customFormat="1" ht="18.75" x14ac:dyDescent="0.3">
      <c r="A70" s="406" t="s">
        <v>384</v>
      </c>
      <c r="B70" s="42"/>
      <c r="C70" s="42"/>
      <c r="D70" s="42"/>
      <c r="E70" s="364" t="s">
        <v>65</v>
      </c>
      <c r="F70" s="235"/>
      <c r="G70" s="250">
        <f>76000</f>
        <v>76000</v>
      </c>
      <c r="H70" s="250">
        <v>-76000</v>
      </c>
      <c r="I70" s="475"/>
      <c r="J70" s="473">
        <v>76000</v>
      </c>
      <c r="K70" s="250"/>
      <c r="L70" s="250"/>
      <c r="M70" s="235"/>
      <c r="N70" s="235"/>
      <c r="O70" s="59"/>
      <c r="P70" s="11"/>
      <c r="Q70" s="11"/>
      <c r="R70" s="459">
        <f t="shared" ref="R70:R73" si="10">SUM(F70:Q70)</f>
        <v>76000</v>
      </c>
    </row>
    <row r="71" spans="1:20" s="94" customFormat="1" ht="18.75" x14ac:dyDescent="0.3">
      <c r="A71" s="366" t="s">
        <v>275</v>
      </c>
      <c r="B71" s="42"/>
      <c r="C71" s="42"/>
      <c r="D71" s="42"/>
      <c r="E71" s="89" t="s">
        <v>274</v>
      </c>
      <c r="F71" s="252"/>
      <c r="G71" s="252"/>
      <c r="H71" s="253"/>
      <c r="I71" s="253"/>
      <c r="J71" s="91"/>
      <c r="K71" s="252">
        <v>41100</v>
      </c>
      <c r="L71" s="384"/>
      <c r="M71" s="383"/>
      <c r="N71" s="382"/>
      <c r="O71" s="48"/>
      <c r="P71" s="11"/>
      <c r="Q71" s="11"/>
      <c r="R71" s="459">
        <f t="shared" si="10"/>
        <v>41100</v>
      </c>
    </row>
    <row r="72" spans="1:20" s="94" customFormat="1" ht="18.75" x14ac:dyDescent="0.3">
      <c r="A72" s="366" t="s">
        <v>276</v>
      </c>
      <c r="B72" s="42"/>
      <c r="C72" s="42"/>
      <c r="D72" s="42"/>
      <c r="E72" s="89" t="s">
        <v>277</v>
      </c>
      <c r="F72" s="252"/>
      <c r="G72" s="252"/>
      <c r="H72" s="252"/>
      <c r="I72" s="252"/>
      <c r="J72" s="91"/>
      <c r="K72" s="384"/>
      <c r="L72" s="384"/>
      <c r="M72" s="383"/>
      <c r="N72" s="381"/>
      <c r="O72" s="253"/>
      <c r="P72" s="251"/>
      <c r="Q72" s="251"/>
      <c r="R72" s="459">
        <f t="shared" si="10"/>
        <v>0</v>
      </c>
    </row>
    <row r="73" spans="1:20" s="94" customFormat="1" ht="18.75" x14ac:dyDescent="0.3">
      <c r="A73" s="366" t="s">
        <v>375</v>
      </c>
      <c r="B73" s="42"/>
      <c r="C73" s="42"/>
      <c r="D73" s="42"/>
      <c r="E73" s="89" t="s">
        <v>374</v>
      </c>
      <c r="F73" s="252"/>
      <c r="G73" s="252"/>
      <c r="H73" s="484">
        <v>14000</v>
      </c>
      <c r="I73" s="252"/>
      <c r="J73" s="91"/>
      <c r="K73" s="253"/>
      <c r="L73" s="485">
        <v>14000</v>
      </c>
      <c r="M73" s="383"/>
      <c r="N73" s="381"/>
      <c r="O73" s="253"/>
      <c r="P73" s="251"/>
      <c r="Q73" s="251"/>
      <c r="R73" s="459">
        <f t="shared" si="10"/>
        <v>28000</v>
      </c>
    </row>
    <row r="74" spans="1:20" s="94" customFormat="1" ht="18.75" x14ac:dyDescent="0.3">
      <c r="A74" s="366" t="s">
        <v>449</v>
      </c>
      <c r="B74" s="42"/>
      <c r="C74" s="42"/>
      <c r="D74" s="42"/>
      <c r="E74" s="89" t="s">
        <v>448</v>
      </c>
      <c r="F74" s="252"/>
      <c r="G74" s="252"/>
      <c r="H74" s="383"/>
      <c r="I74" s="383"/>
      <c r="J74" s="511">
        <v>4860</v>
      </c>
      <c r="K74" s="384"/>
      <c r="L74" s="384"/>
      <c r="M74" s="383"/>
      <c r="N74" s="375"/>
      <c r="O74" s="375"/>
      <c r="P74" s="375"/>
      <c r="Q74" s="375"/>
      <c r="R74" s="459">
        <f t="shared" si="8"/>
        <v>4860</v>
      </c>
    </row>
    <row r="75" spans="1:20" s="94" customFormat="1" ht="18.75" x14ac:dyDescent="0.3">
      <c r="A75" s="366" t="s">
        <v>419</v>
      </c>
      <c r="B75" s="42"/>
      <c r="C75" s="42"/>
      <c r="D75" s="42"/>
      <c r="E75" s="89" t="s">
        <v>418</v>
      </c>
      <c r="F75" s="252"/>
      <c r="G75" s="252"/>
      <c r="H75" s="383"/>
      <c r="I75" s="511">
        <v>17982</v>
      </c>
      <c r="J75" s="91"/>
      <c r="K75" s="384"/>
      <c r="L75" s="384"/>
      <c r="M75" s="383"/>
      <c r="N75" s="375"/>
      <c r="O75" s="375"/>
      <c r="P75" s="375"/>
      <c r="Q75" s="375"/>
      <c r="R75" s="459">
        <f t="shared" si="8"/>
        <v>17982</v>
      </c>
    </row>
    <row r="76" spans="1:20" s="94" customFormat="1" ht="18.75" x14ac:dyDescent="0.3">
      <c r="A76" s="366" t="s">
        <v>421</v>
      </c>
      <c r="B76" s="42"/>
      <c r="C76" s="42"/>
      <c r="D76" s="42"/>
      <c r="E76" s="89" t="s">
        <v>420</v>
      </c>
      <c r="F76" s="252"/>
      <c r="G76" s="252"/>
      <c r="H76" s="383"/>
      <c r="I76" s="511">
        <v>5490</v>
      </c>
      <c r="J76" s="253"/>
      <c r="K76" s="384"/>
      <c r="L76" s="384"/>
      <c r="M76" s="383"/>
      <c r="N76" s="375"/>
      <c r="O76" s="375"/>
      <c r="P76" s="375"/>
      <c r="Q76" s="375"/>
      <c r="R76" s="459">
        <f t="shared" si="8"/>
        <v>5490</v>
      </c>
    </row>
    <row r="77" spans="1:20" s="94" customFormat="1" ht="18.75" x14ac:dyDescent="0.3">
      <c r="A77" s="366" t="s">
        <v>429</v>
      </c>
      <c r="B77" s="42"/>
      <c r="C77" s="42"/>
      <c r="D77" s="42"/>
      <c r="E77" s="89" t="s">
        <v>430</v>
      </c>
      <c r="F77" s="252"/>
      <c r="G77" s="252"/>
      <c r="H77" s="383"/>
      <c r="I77" s="511">
        <v>25000</v>
      </c>
      <c r="J77" s="510"/>
      <c r="K77" s="384"/>
      <c r="L77" s="384"/>
      <c r="M77" s="383"/>
      <c r="N77" s="375"/>
      <c r="O77" s="375"/>
      <c r="P77" s="375"/>
      <c r="Q77" s="375"/>
      <c r="R77" s="459">
        <f t="shared" si="8"/>
        <v>25000</v>
      </c>
    </row>
    <row r="78" spans="1:20" s="94" customFormat="1" ht="18.75" x14ac:dyDescent="0.3">
      <c r="A78" s="366" t="s">
        <v>316</v>
      </c>
      <c r="B78" s="42"/>
      <c r="C78" s="42"/>
      <c r="D78" s="42"/>
      <c r="E78" s="89"/>
      <c r="F78" s="252"/>
      <c r="G78" s="252"/>
      <c r="H78" s="383"/>
      <c r="I78" s="91"/>
      <c r="J78" s="510"/>
      <c r="K78" s="384"/>
      <c r="L78" s="384"/>
      <c r="M78" s="383"/>
      <c r="N78" s="375">
        <v>200000</v>
      </c>
      <c r="O78" s="375">
        <v>200000</v>
      </c>
      <c r="P78" s="375">
        <v>200000</v>
      </c>
      <c r="Q78" s="375">
        <v>200000</v>
      </c>
      <c r="R78" s="459">
        <f t="shared" si="8"/>
        <v>800000</v>
      </c>
    </row>
    <row r="79" spans="1:20" s="94" customFormat="1" ht="18.75" x14ac:dyDescent="0.3">
      <c r="A79" s="366" t="s">
        <v>319</v>
      </c>
      <c r="B79" s="42"/>
      <c r="C79" s="42"/>
      <c r="D79" s="42"/>
      <c r="E79" s="89"/>
      <c r="F79" s="252"/>
      <c r="G79" s="252"/>
      <c r="H79" s="383"/>
      <c r="I79" s="383"/>
      <c r="J79" s="91"/>
      <c r="K79" s="384"/>
      <c r="L79" s="384"/>
      <c r="M79" s="383"/>
      <c r="N79" s="381"/>
      <c r="O79" s="375">
        <f>3913272.86/12</f>
        <v>326106.07166666666</v>
      </c>
      <c r="P79" s="375">
        <f t="shared" ref="P79" si="11">3913272.86/12</f>
        <v>326106.07166666666</v>
      </c>
      <c r="Q79" s="375">
        <f>3913272.86/12</f>
        <v>326106.07166666666</v>
      </c>
      <c r="R79" s="459">
        <f t="shared" si="8"/>
        <v>978318.21499999997</v>
      </c>
    </row>
    <row r="80" spans="1:20" s="94" customFormat="1" ht="18.75" x14ac:dyDescent="0.3">
      <c r="A80" s="366" t="s">
        <v>321</v>
      </c>
      <c r="B80" s="42"/>
      <c r="C80" s="42"/>
      <c r="D80" s="42"/>
      <c r="E80" s="89"/>
      <c r="F80" s="252"/>
      <c r="G80" s="252"/>
      <c r="H80" s="253"/>
      <c r="I80" s="253"/>
      <c r="J80" s="383">
        <v>25000</v>
      </c>
      <c r="K80" s="253"/>
      <c r="L80" s="384"/>
      <c r="M80" s="466">
        <v>25000</v>
      </c>
      <c r="N80" s="381"/>
      <c r="O80" s="253"/>
      <c r="P80" s="251"/>
      <c r="Q80" s="251"/>
      <c r="R80" s="459">
        <f t="shared" si="8"/>
        <v>50000</v>
      </c>
    </row>
    <row r="81" spans="1:19" s="94" customFormat="1" ht="18.75" x14ac:dyDescent="0.3">
      <c r="A81" s="366" t="s">
        <v>326</v>
      </c>
      <c r="B81" s="42"/>
      <c r="C81" s="42"/>
      <c r="D81" s="42"/>
      <c r="E81" s="89"/>
      <c r="F81" s="252"/>
      <c r="G81" s="252"/>
      <c r="H81" s="383"/>
      <c r="I81" s="383"/>
      <c r="J81" s="383">
        <v>320000</v>
      </c>
      <c r="K81" s="384"/>
      <c r="L81" s="384"/>
      <c r="M81" s="383"/>
      <c r="N81" s="381"/>
      <c r="O81" s="253"/>
      <c r="P81" s="251"/>
      <c r="Q81" s="251"/>
      <c r="R81" s="459">
        <f t="shared" si="8"/>
        <v>320000</v>
      </c>
    </row>
    <row r="82" spans="1:19" s="94" customFormat="1" ht="18.75" x14ac:dyDescent="0.3">
      <c r="A82" s="366" t="s">
        <v>333</v>
      </c>
      <c r="B82" s="42"/>
      <c r="C82" s="42"/>
      <c r="D82" s="42"/>
      <c r="E82" s="89"/>
      <c r="F82" s="252"/>
      <c r="G82" s="252"/>
      <c r="H82" s="383"/>
      <c r="J82" s="383">
        <v>40000</v>
      </c>
      <c r="K82" s="384"/>
      <c r="L82" s="384"/>
      <c r="M82" s="383"/>
      <c r="N82" s="381"/>
      <c r="O82" s="253"/>
      <c r="P82" s="251"/>
      <c r="Q82" s="251"/>
      <c r="R82" s="459">
        <f t="shared" si="8"/>
        <v>40000</v>
      </c>
    </row>
    <row r="83" spans="1:19" ht="19.5" thickBot="1" x14ac:dyDescent="0.35">
      <c r="A83" s="12"/>
      <c r="B83" s="41"/>
      <c r="C83" s="41"/>
      <c r="D83" s="363"/>
      <c r="E83" s="41"/>
      <c r="F83" s="236"/>
      <c r="G83" s="13"/>
      <c r="H83" s="13"/>
      <c r="I83" s="13"/>
      <c r="J83" s="11"/>
      <c r="K83" s="13"/>
      <c r="L83" s="13"/>
      <c r="M83" s="13"/>
      <c r="N83" s="13"/>
      <c r="O83" s="13"/>
      <c r="P83" s="24"/>
      <c r="Q83" s="13"/>
      <c r="R83" s="459">
        <f t="shared" si="8"/>
        <v>0</v>
      </c>
    </row>
    <row r="84" spans="1:19" ht="19.5" thickBot="1" x14ac:dyDescent="0.35">
      <c r="A84" s="21"/>
      <c r="B84" s="21"/>
      <c r="C84" s="21"/>
      <c r="D84" s="21"/>
      <c r="E84" s="21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36" t="s">
        <v>16</v>
      </c>
      <c r="R84" s="400">
        <f>B33-R33</f>
        <v>-1285784.6650000028</v>
      </c>
      <c r="S84" s="193"/>
    </row>
    <row r="85" spans="1:19" ht="19.5" thickBot="1" x14ac:dyDescent="0.35">
      <c r="A85" s="21"/>
      <c r="B85" s="21"/>
      <c r="C85" s="21"/>
      <c r="D85" s="21"/>
      <c r="E85" s="21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398"/>
      <c r="R85" s="399"/>
    </row>
    <row r="86" spans="1:19" ht="19.5" thickBot="1" x14ac:dyDescent="0.35">
      <c r="A86" s="433" t="s">
        <v>25</v>
      </c>
      <c r="B86" s="434">
        <f>138118-93087.57</f>
        <v>45030.429999999993</v>
      </c>
      <c r="C86" s="435" t="s">
        <v>17</v>
      </c>
      <c r="D86" s="436" t="s">
        <v>290</v>
      </c>
      <c r="E86" s="436"/>
      <c r="F86" s="437">
        <f>SUM(F87:F90)</f>
        <v>43898.5</v>
      </c>
      <c r="G86" s="437">
        <f t="shared" ref="G86:Q86" si="12">SUM(G87:G90)</f>
        <v>0</v>
      </c>
      <c r="H86" s="437">
        <f t="shared" si="12"/>
        <v>0</v>
      </c>
      <c r="I86" s="437">
        <f t="shared" si="12"/>
        <v>0</v>
      </c>
      <c r="J86" s="437">
        <f t="shared" si="12"/>
        <v>0</v>
      </c>
      <c r="K86" s="437">
        <f t="shared" si="12"/>
        <v>0</v>
      </c>
      <c r="L86" s="437">
        <f t="shared" si="12"/>
        <v>0</v>
      </c>
      <c r="M86" s="437">
        <f t="shared" si="12"/>
        <v>0</v>
      </c>
      <c r="N86" s="437">
        <f t="shared" si="12"/>
        <v>0</v>
      </c>
      <c r="O86" s="437">
        <f t="shared" si="12"/>
        <v>0</v>
      </c>
      <c r="P86" s="437">
        <f t="shared" si="12"/>
        <v>0</v>
      </c>
      <c r="Q86" s="437">
        <f t="shared" si="12"/>
        <v>0</v>
      </c>
      <c r="R86" s="438">
        <f>SUM(F86:Q86)</f>
        <v>43898.5</v>
      </c>
    </row>
    <row r="87" spans="1:19" ht="37.5" x14ac:dyDescent="0.2">
      <c r="A87" s="474" t="s">
        <v>139</v>
      </c>
      <c r="B87" s="90"/>
      <c r="C87" s="362"/>
      <c r="D87" s="362"/>
      <c r="E87" s="403" t="s">
        <v>119</v>
      </c>
      <c r="F87" s="373">
        <v>3456.35</v>
      </c>
      <c r="G87" s="377"/>
      <c r="H87" s="377"/>
      <c r="I87" s="377"/>
      <c r="J87" s="377"/>
      <c r="K87" s="377"/>
      <c r="L87" s="377"/>
      <c r="M87" s="377"/>
      <c r="N87" s="362"/>
      <c r="O87" s="362"/>
      <c r="P87" s="362"/>
      <c r="Q87" s="362"/>
      <c r="R87" s="459">
        <f>SUM(F87:Q87)</f>
        <v>3456.35</v>
      </c>
    </row>
    <row r="88" spans="1:19" ht="18.75" x14ac:dyDescent="0.3">
      <c r="A88" s="479" t="s">
        <v>141</v>
      </c>
      <c r="B88" s="42"/>
      <c r="C88" s="353"/>
      <c r="D88" s="353"/>
      <c r="E88" s="354" t="s">
        <v>121</v>
      </c>
      <c r="F88" s="355">
        <v>13496.75</v>
      </c>
      <c r="G88" s="356"/>
      <c r="H88" s="356"/>
      <c r="I88" s="356"/>
      <c r="J88" s="356"/>
      <c r="K88" s="356"/>
      <c r="L88" s="356"/>
      <c r="M88" s="353"/>
      <c r="N88" s="353"/>
      <c r="O88" s="353"/>
      <c r="P88" s="353"/>
      <c r="Q88" s="353"/>
      <c r="R88" s="459">
        <f t="shared" ref="R88:R90" si="13">SUM(F88:Q88)</f>
        <v>13496.75</v>
      </c>
    </row>
    <row r="89" spans="1:19" ht="18.75" x14ac:dyDescent="0.3">
      <c r="A89" s="479" t="s">
        <v>147</v>
      </c>
      <c r="B89" s="42"/>
      <c r="C89" s="353"/>
      <c r="D89" s="353"/>
      <c r="E89" s="354" t="s">
        <v>127</v>
      </c>
      <c r="F89" s="355">
        <v>21993.83</v>
      </c>
      <c r="G89" s="356"/>
      <c r="H89" s="356"/>
      <c r="I89" s="356"/>
      <c r="J89" s="356"/>
      <c r="K89" s="353"/>
      <c r="L89" s="353"/>
      <c r="M89" s="353"/>
      <c r="N89" s="353"/>
      <c r="O89" s="353"/>
      <c r="P89" s="353"/>
      <c r="Q89" s="353"/>
      <c r="R89" s="459">
        <f t="shared" si="13"/>
        <v>21993.83</v>
      </c>
    </row>
    <row r="90" spans="1:19" ht="57" thickBot="1" x14ac:dyDescent="0.25">
      <c r="A90" s="474" t="s">
        <v>131</v>
      </c>
      <c r="B90" s="90"/>
      <c r="C90" s="362"/>
      <c r="D90" s="362"/>
      <c r="E90" s="403" t="s">
        <v>111</v>
      </c>
      <c r="F90" s="373">
        <f>6083.5-1131.93</f>
        <v>4951.57</v>
      </c>
      <c r="G90" s="377"/>
      <c r="H90" s="377"/>
      <c r="I90" s="377"/>
      <c r="J90" s="377"/>
      <c r="K90" s="377"/>
      <c r="L90" s="377"/>
      <c r="M90" s="377"/>
      <c r="N90" s="377"/>
      <c r="O90" s="377"/>
      <c r="P90" s="377"/>
      <c r="Q90" s="377"/>
      <c r="R90" s="459">
        <f t="shared" si="13"/>
        <v>4951.57</v>
      </c>
    </row>
    <row r="91" spans="1:19" ht="19.5" thickBot="1" x14ac:dyDescent="0.35">
      <c r="A91" s="21"/>
      <c r="B91" s="21"/>
      <c r="C91" s="21"/>
      <c r="D91" s="21"/>
      <c r="E91" s="21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36" t="s">
        <v>16</v>
      </c>
      <c r="R91" s="400">
        <f>B86-R86</f>
        <v>1131.929999999993</v>
      </c>
    </row>
    <row r="92" spans="1:19" ht="19.5" thickBot="1" x14ac:dyDescent="0.35">
      <c r="A92" s="21"/>
      <c r="B92" s="21"/>
      <c r="C92" s="21"/>
      <c r="D92" s="21"/>
      <c r="E92" s="21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398"/>
      <c r="R92" s="399"/>
    </row>
    <row r="93" spans="1:19" ht="19.5" thickBot="1" x14ac:dyDescent="0.35">
      <c r="A93" s="439" t="s">
        <v>25</v>
      </c>
      <c r="B93" s="440">
        <f>5231309.87-5000000</f>
        <v>231309.87000000011</v>
      </c>
      <c r="C93" s="441" t="s">
        <v>17</v>
      </c>
      <c r="D93" s="442" t="s">
        <v>289</v>
      </c>
      <c r="E93" s="443"/>
      <c r="F93" s="437">
        <f>SUM(F94:F95)</f>
        <v>0</v>
      </c>
      <c r="G93" s="437">
        <f t="shared" ref="G93:Q93" si="14">SUM(G94:G95)</f>
        <v>2500</v>
      </c>
      <c r="H93" s="437">
        <f t="shared" si="14"/>
        <v>0</v>
      </c>
      <c r="I93" s="437">
        <f t="shared" si="14"/>
        <v>2500</v>
      </c>
      <c r="J93" s="437">
        <f t="shared" si="14"/>
        <v>0</v>
      </c>
      <c r="K93" s="437">
        <f t="shared" si="14"/>
        <v>0</v>
      </c>
      <c r="L93" s="437">
        <f t="shared" si="14"/>
        <v>0</v>
      </c>
      <c r="M93" s="437">
        <f t="shared" si="14"/>
        <v>0</v>
      </c>
      <c r="N93" s="437">
        <f t="shared" si="14"/>
        <v>7000000</v>
      </c>
      <c r="O93" s="437">
        <f>SUM(O94:O95)</f>
        <v>0</v>
      </c>
      <c r="P93" s="437">
        <f t="shared" si="14"/>
        <v>0</v>
      </c>
      <c r="Q93" s="437">
        <f t="shared" si="14"/>
        <v>0</v>
      </c>
      <c r="R93" s="437">
        <f>SUM(F93:Q93)</f>
        <v>7005000</v>
      </c>
    </row>
    <row r="94" spans="1:19" ht="18.75" x14ac:dyDescent="0.3">
      <c r="A94" s="366" t="s">
        <v>334</v>
      </c>
      <c r="B94" s="42"/>
      <c r="C94" s="42"/>
      <c r="D94" s="42"/>
      <c r="E94" s="89"/>
      <c r="F94" s="252"/>
      <c r="G94" s="252"/>
      <c r="H94" s="383"/>
      <c r="I94" s="383"/>
      <c r="J94" s="91"/>
      <c r="K94" s="492"/>
      <c r="L94" s="384"/>
      <c r="M94" s="383"/>
      <c r="N94" s="375">
        <v>7000000</v>
      </c>
      <c r="O94" s="466"/>
      <c r="P94" s="251"/>
      <c r="Q94" s="251"/>
      <c r="R94" s="459">
        <f>SUM(F94:Q94)</f>
        <v>7000000</v>
      </c>
    </row>
    <row r="95" spans="1:19" ht="19.5" thickBot="1" x14ac:dyDescent="0.35">
      <c r="A95" s="401" t="s">
        <v>18</v>
      </c>
      <c r="B95" s="42"/>
      <c r="C95" s="42"/>
      <c r="D95" s="42"/>
      <c r="E95" s="89" t="s">
        <v>53</v>
      </c>
      <c r="F95" s="235"/>
      <c r="G95" s="307">
        <v>2500</v>
      </c>
      <c r="H95" s="11"/>
      <c r="I95" s="307">
        <f>Adiantamentos!J40</f>
        <v>2500</v>
      </c>
      <c r="J95" s="307"/>
      <c r="K95" s="402"/>
      <c r="L95" s="307"/>
      <c r="M95" s="307"/>
      <c r="N95" s="307"/>
      <c r="O95" s="251"/>
      <c r="P95" s="250"/>
      <c r="Q95" s="251"/>
      <c r="R95" s="461">
        <f>SUM(F95:Q95)</f>
        <v>5000</v>
      </c>
    </row>
    <row r="96" spans="1:19" ht="19.5" thickBot="1" x14ac:dyDescent="0.35">
      <c r="A96" s="404"/>
      <c r="B96" s="404"/>
      <c r="C96" s="404"/>
      <c r="D96" s="404"/>
      <c r="E96" s="404"/>
      <c r="F96" s="404"/>
      <c r="G96" s="404"/>
      <c r="H96" s="404"/>
      <c r="I96" s="404"/>
      <c r="J96" s="404"/>
      <c r="K96" s="404"/>
      <c r="L96" s="404"/>
      <c r="M96" s="404"/>
      <c r="N96" s="404"/>
      <c r="O96" s="404"/>
      <c r="P96" s="404"/>
      <c r="Q96" s="36" t="s">
        <v>16</v>
      </c>
      <c r="R96" s="405">
        <f>B93-R93</f>
        <v>-6773690.1299999999</v>
      </c>
    </row>
    <row r="97" spans="1:20" ht="19.5" thickBot="1" x14ac:dyDescent="0.35">
      <c r="A97" s="21"/>
      <c r="B97" s="21"/>
      <c r="C97" s="21"/>
      <c r="D97" s="21"/>
      <c r="E97" s="21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398"/>
      <c r="R97" s="399"/>
    </row>
    <row r="98" spans="1:20" ht="19.5" thickBot="1" x14ac:dyDescent="0.35">
      <c r="A98" s="439" t="s">
        <v>310</v>
      </c>
      <c r="B98" s="440">
        <f>593087.57</f>
        <v>593087.56999999995</v>
      </c>
      <c r="C98" s="441" t="s">
        <v>17</v>
      </c>
      <c r="D98" s="442" t="s">
        <v>290</v>
      </c>
      <c r="E98" s="443"/>
      <c r="F98" s="437">
        <f t="shared" ref="F98:Q98" si="15">SUM(F99:F117)</f>
        <v>0</v>
      </c>
      <c r="G98" s="437">
        <f t="shared" si="15"/>
        <v>45030.43</v>
      </c>
      <c r="H98" s="437">
        <f t="shared" si="15"/>
        <v>45030.43</v>
      </c>
      <c r="I98" s="437">
        <f t="shared" si="15"/>
        <v>45030.43</v>
      </c>
      <c r="J98" s="437">
        <f t="shared" si="15"/>
        <v>45030.43</v>
      </c>
      <c r="K98" s="437">
        <f t="shared" si="15"/>
        <v>11637880.84</v>
      </c>
      <c r="L98" s="437">
        <f t="shared" si="15"/>
        <v>45030.43</v>
      </c>
      <c r="M98" s="437">
        <f t="shared" si="15"/>
        <v>45030.43</v>
      </c>
      <c r="N98" s="437">
        <f t="shared" si="15"/>
        <v>45030.43</v>
      </c>
      <c r="O98" s="437">
        <f t="shared" si="15"/>
        <v>45030.43</v>
      </c>
      <c r="P98" s="437">
        <f t="shared" si="15"/>
        <v>45030.43</v>
      </c>
      <c r="Q98" s="437">
        <f t="shared" si="15"/>
        <v>45030.43</v>
      </c>
      <c r="R98" s="437">
        <f>SUM(F98:Q98)</f>
        <v>12088185.139999999</v>
      </c>
      <c r="T98" s="14"/>
    </row>
    <row r="99" spans="1:20" ht="37.5" x14ac:dyDescent="0.2">
      <c r="A99" s="474" t="s">
        <v>139</v>
      </c>
      <c r="B99" s="90"/>
      <c r="C99" s="362"/>
      <c r="D99" s="362"/>
      <c r="E99" s="403" t="s">
        <v>119</v>
      </c>
      <c r="F99" s="377"/>
      <c r="G99" s="373">
        <v>3456.35</v>
      </c>
      <c r="H99" s="373">
        <v>3456.35</v>
      </c>
      <c r="I99" s="373">
        <v>3456.35</v>
      </c>
      <c r="J99" s="373">
        <v>3456.35</v>
      </c>
      <c r="K99" s="377">
        <v>3456.35</v>
      </c>
      <c r="L99" s="377">
        <v>3456.35</v>
      </c>
      <c r="M99" s="377">
        <v>3456.35</v>
      </c>
      <c r="N99" s="362">
        <v>3456.35</v>
      </c>
      <c r="O99" s="362">
        <v>3456.35</v>
      </c>
      <c r="P99" s="362">
        <v>3456.35</v>
      </c>
      <c r="Q99" s="362">
        <v>3456.35</v>
      </c>
      <c r="R99" s="460">
        <f t="shared" ref="R99:R102" si="16">SUM(F99:Q99)</f>
        <v>38019.849999999991</v>
      </c>
      <c r="S99" s="480"/>
    </row>
    <row r="100" spans="1:20" ht="18.75" x14ac:dyDescent="0.3">
      <c r="A100" s="479" t="s">
        <v>141</v>
      </c>
      <c r="B100" s="42"/>
      <c r="C100" s="353"/>
      <c r="D100" s="353"/>
      <c r="E100" s="354" t="s">
        <v>121</v>
      </c>
      <c r="F100" s="356"/>
      <c r="G100" s="355">
        <v>13496.75</v>
      </c>
      <c r="H100" s="355">
        <v>13496.75</v>
      </c>
      <c r="I100" s="355">
        <v>13496.75</v>
      </c>
      <c r="J100" s="355">
        <v>13496.75</v>
      </c>
      <c r="K100" s="356">
        <v>13496.75</v>
      </c>
      <c r="L100" s="356">
        <v>13496.75</v>
      </c>
      <c r="M100" s="353">
        <v>13496.75</v>
      </c>
      <c r="N100" s="353">
        <v>13496.75</v>
      </c>
      <c r="O100" s="353">
        <v>13496.75</v>
      </c>
      <c r="P100" s="353">
        <v>13496.75</v>
      </c>
      <c r="Q100" s="353">
        <v>13496.75</v>
      </c>
      <c r="R100" s="460">
        <f t="shared" si="16"/>
        <v>148464.25</v>
      </c>
      <c r="S100" s="480"/>
    </row>
    <row r="101" spans="1:20" ht="18.75" x14ac:dyDescent="0.3">
      <c r="A101" s="479" t="s">
        <v>147</v>
      </c>
      <c r="B101" s="42"/>
      <c r="C101" s="353"/>
      <c r="D101" s="353"/>
      <c r="E101" s="354" t="s">
        <v>127</v>
      </c>
      <c r="F101" s="356"/>
      <c r="G101" s="355">
        <v>21993.83</v>
      </c>
      <c r="H101" s="355">
        <v>21993.83</v>
      </c>
      <c r="I101" s="507">
        <v>21993.83</v>
      </c>
      <c r="J101" s="356">
        <v>21993.83</v>
      </c>
      <c r="K101" s="356">
        <v>21993.83</v>
      </c>
      <c r="L101" s="356">
        <v>21993.83</v>
      </c>
      <c r="M101" s="356">
        <v>21993.83</v>
      </c>
      <c r="N101" s="356">
        <v>21993.83</v>
      </c>
      <c r="O101" s="356">
        <v>21993.83</v>
      </c>
      <c r="P101" s="356">
        <v>21993.83</v>
      </c>
      <c r="Q101" s="356">
        <v>21993.83</v>
      </c>
      <c r="R101" s="460">
        <f t="shared" si="16"/>
        <v>241932.13000000006</v>
      </c>
      <c r="S101" s="480"/>
    </row>
    <row r="102" spans="1:20" ht="56.25" x14ac:dyDescent="0.2">
      <c r="A102" s="474" t="s">
        <v>131</v>
      </c>
      <c r="B102" s="90"/>
      <c r="C102" s="362"/>
      <c r="D102" s="362"/>
      <c r="E102" s="403" t="s">
        <v>111</v>
      </c>
      <c r="F102" s="377"/>
      <c r="G102" s="373">
        <v>6083.5</v>
      </c>
      <c r="H102" s="373">
        <f>202.78+5880.72</f>
        <v>6083.5</v>
      </c>
      <c r="I102" s="373">
        <v>6083.5</v>
      </c>
      <c r="J102" s="373">
        <v>6083.5</v>
      </c>
      <c r="K102" s="377">
        <v>6083.5</v>
      </c>
      <c r="L102" s="377">
        <v>6083.5</v>
      </c>
      <c r="M102" s="377">
        <v>6083.5</v>
      </c>
      <c r="N102" s="377">
        <v>6083.5</v>
      </c>
      <c r="O102" s="377">
        <v>6083.5</v>
      </c>
      <c r="P102" s="377">
        <v>6083.5</v>
      </c>
      <c r="Q102" s="377">
        <v>6083.5</v>
      </c>
      <c r="R102" s="460">
        <f t="shared" si="16"/>
        <v>66918.5</v>
      </c>
      <c r="S102" s="480"/>
    </row>
    <row r="103" spans="1:20" s="94" customFormat="1" ht="18.75" x14ac:dyDescent="0.3">
      <c r="A103" s="493" t="s">
        <v>317</v>
      </c>
      <c r="B103" s="90"/>
      <c r="C103" s="252"/>
      <c r="D103" s="252"/>
      <c r="E103" s="403"/>
      <c r="F103" s="235"/>
      <c r="G103" s="235"/>
      <c r="H103" s="235"/>
      <c r="I103" s="235"/>
      <c r="J103" s="253"/>
      <c r="K103" s="235">
        <v>82810.64</v>
      </c>
      <c r="L103" s="235"/>
      <c r="M103" s="235"/>
      <c r="N103" s="235"/>
      <c r="O103" s="235"/>
      <c r="P103" s="235"/>
      <c r="Q103" s="235"/>
      <c r="R103" s="459">
        <f t="shared" ref="R103:R117" si="17">SUM(F103:Q103)</f>
        <v>82810.64</v>
      </c>
    </row>
    <row r="104" spans="1:20" s="94" customFormat="1" ht="18.75" x14ac:dyDescent="0.3">
      <c r="A104" s="465" t="s">
        <v>318</v>
      </c>
      <c r="B104" s="90"/>
      <c r="C104" s="252"/>
      <c r="D104" s="362"/>
      <c r="E104" s="403"/>
      <c r="F104" s="235"/>
      <c r="G104" s="235"/>
      <c r="H104" s="235"/>
      <c r="I104" s="235"/>
      <c r="J104" s="235"/>
      <c r="K104" s="235">
        <f>6324000.32</f>
        <v>6324000.3200000003</v>
      </c>
      <c r="L104" s="235"/>
      <c r="M104" s="235"/>
      <c r="N104" s="235"/>
      <c r="O104" s="235"/>
      <c r="P104" s="235"/>
      <c r="Q104" s="235"/>
      <c r="R104" s="459">
        <f t="shared" si="17"/>
        <v>6324000.3200000003</v>
      </c>
    </row>
    <row r="105" spans="1:20" s="94" customFormat="1" ht="18.75" x14ac:dyDescent="0.3">
      <c r="A105" s="465" t="s">
        <v>320</v>
      </c>
      <c r="B105" s="90"/>
      <c r="C105" s="252"/>
      <c r="D105" s="362"/>
      <c r="E105" s="403"/>
      <c r="F105" s="235"/>
      <c r="G105" s="235"/>
      <c r="H105" s="235"/>
      <c r="I105" s="235"/>
      <c r="J105" s="235"/>
      <c r="K105" s="235">
        <v>2000000</v>
      </c>
      <c r="L105" s="235"/>
      <c r="M105" s="235"/>
      <c r="N105" s="235"/>
      <c r="O105" s="235"/>
      <c r="P105" s="235"/>
      <c r="Q105" s="235"/>
      <c r="R105" s="459">
        <f t="shared" si="17"/>
        <v>2000000</v>
      </c>
    </row>
    <row r="106" spans="1:20" s="94" customFormat="1" ht="37.5" x14ac:dyDescent="0.3">
      <c r="A106" s="465" t="s">
        <v>322</v>
      </c>
      <c r="B106" s="90"/>
      <c r="C106" s="252"/>
      <c r="D106" s="362"/>
      <c r="E106" s="403"/>
      <c r="F106" s="235"/>
      <c r="G106" s="235"/>
      <c r="H106" s="235"/>
      <c r="I106" s="235"/>
      <c r="J106" s="235"/>
      <c r="K106" s="252">
        <v>645000</v>
      </c>
      <c r="L106" s="235"/>
      <c r="M106" s="235"/>
      <c r="N106" s="235"/>
      <c r="O106" s="235"/>
      <c r="P106" s="235"/>
      <c r="Q106" s="235"/>
      <c r="R106" s="459">
        <f t="shared" si="17"/>
        <v>645000</v>
      </c>
    </row>
    <row r="107" spans="1:20" s="94" customFormat="1" ht="37.5" x14ac:dyDescent="0.3">
      <c r="A107" s="465" t="s">
        <v>323</v>
      </c>
      <c r="B107" s="90"/>
      <c r="C107" s="252"/>
      <c r="D107" s="362"/>
      <c r="E107" s="403"/>
      <c r="F107" s="235"/>
      <c r="G107" s="235"/>
      <c r="H107" s="235"/>
      <c r="I107" s="235"/>
      <c r="J107" s="235"/>
      <c r="K107" s="252">
        <v>640000</v>
      </c>
      <c r="L107" s="235"/>
      <c r="M107" s="235"/>
      <c r="N107" s="235"/>
      <c r="O107" s="235"/>
      <c r="P107" s="235"/>
      <c r="Q107" s="235"/>
      <c r="R107" s="459">
        <f t="shared" si="17"/>
        <v>640000</v>
      </c>
    </row>
    <row r="108" spans="1:20" s="94" customFormat="1" ht="18.75" x14ac:dyDescent="0.3">
      <c r="A108" s="465" t="s">
        <v>324</v>
      </c>
      <c r="B108" s="90"/>
      <c r="C108" s="252"/>
      <c r="D108" s="362"/>
      <c r="E108" s="403"/>
      <c r="F108" s="235"/>
      <c r="G108" s="235"/>
      <c r="H108" s="235"/>
      <c r="I108" s="235"/>
      <c r="J108" s="235"/>
      <c r="K108" s="235">
        <v>500000</v>
      </c>
      <c r="L108" s="235"/>
      <c r="M108" s="235"/>
      <c r="N108" s="235"/>
      <c r="O108" s="235"/>
      <c r="P108" s="235"/>
      <c r="Q108" s="235"/>
      <c r="R108" s="459">
        <f t="shared" si="17"/>
        <v>500000</v>
      </c>
    </row>
    <row r="109" spans="1:20" s="94" customFormat="1" ht="37.5" x14ac:dyDescent="0.3">
      <c r="A109" s="465" t="s">
        <v>325</v>
      </c>
      <c r="B109" s="90"/>
      <c r="C109" s="252"/>
      <c r="D109" s="362"/>
      <c r="E109" s="403"/>
      <c r="F109" s="235"/>
      <c r="G109" s="235"/>
      <c r="H109" s="235"/>
      <c r="I109" s="235"/>
      <c r="J109" s="235"/>
      <c r="K109" s="252">
        <v>325000</v>
      </c>
      <c r="L109" s="235"/>
      <c r="M109" s="235"/>
      <c r="N109" s="235"/>
      <c r="O109" s="235"/>
      <c r="P109" s="235"/>
      <c r="Q109" s="235"/>
      <c r="R109" s="459">
        <f t="shared" si="17"/>
        <v>325000</v>
      </c>
    </row>
    <row r="110" spans="1:20" s="94" customFormat="1" ht="18.75" x14ac:dyDescent="0.3">
      <c r="A110" s="465" t="s">
        <v>327</v>
      </c>
      <c r="B110" s="90"/>
      <c r="C110" s="252"/>
      <c r="D110" s="362"/>
      <c r="E110" s="403"/>
      <c r="F110" s="235"/>
      <c r="G110" s="235"/>
      <c r="H110" s="235"/>
      <c r="I110" s="235"/>
      <c r="J110" s="235"/>
      <c r="K110" s="235">
        <v>202000</v>
      </c>
      <c r="L110" s="235"/>
      <c r="M110" s="235"/>
      <c r="N110" s="235"/>
      <c r="O110" s="235"/>
      <c r="P110" s="235"/>
      <c r="Q110" s="235"/>
      <c r="R110" s="459">
        <f t="shared" si="17"/>
        <v>202000</v>
      </c>
    </row>
    <row r="111" spans="1:20" s="94" customFormat="1" ht="18.75" x14ac:dyDescent="0.3">
      <c r="A111" s="465" t="s">
        <v>328</v>
      </c>
      <c r="B111" s="90"/>
      <c r="C111" s="252"/>
      <c r="D111" s="362"/>
      <c r="E111" s="403"/>
      <c r="F111" s="235"/>
      <c r="G111" s="235"/>
      <c r="H111" s="235"/>
      <c r="I111" s="235"/>
      <c r="J111" s="235"/>
      <c r="K111" s="235">
        <v>154992</v>
      </c>
      <c r="L111" s="235"/>
      <c r="M111" s="235"/>
      <c r="N111" s="235"/>
      <c r="O111" s="235"/>
      <c r="P111" s="235"/>
      <c r="Q111" s="235"/>
      <c r="R111" s="459">
        <f t="shared" si="17"/>
        <v>154992</v>
      </c>
    </row>
    <row r="112" spans="1:20" s="94" customFormat="1" ht="18.75" x14ac:dyDescent="0.3">
      <c r="A112" s="465" t="s">
        <v>141</v>
      </c>
      <c r="B112" s="90"/>
      <c r="C112" s="252"/>
      <c r="D112" s="362"/>
      <c r="E112" s="403"/>
      <c r="F112" s="235"/>
      <c r="G112" s="235"/>
      <c r="H112" s="235"/>
      <c r="I112" s="235"/>
      <c r="J112" s="235"/>
      <c r="K112" s="235">
        <v>146047.45000000001</v>
      </c>
      <c r="L112" s="235"/>
      <c r="M112" s="235"/>
      <c r="N112" s="235"/>
      <c r="O112" s="235"/>
      <c r="P112" s="235"/>
      <c r="Q112" s="235"/>
      <c r="R112" s="459">
        <f t="shared" si="17"/>
        <v>146047.45000000001</v>
      </c>
    </row>
    <row r="113" spans="1:19" s="94" customFormat="1" ht="18.75" x14ac:dyDescent="0.3">
      <c r="A113" s="465" t="s">
        <v>329</v>
      </c>
      <c r="B113" s="90"/>
      <c r="C113" s="252"/>
      <c r="D113" s="362"/>
      <c r="E113" s="403"/>
      <c r="F113" s="235"/>
      <c r="G113" s="235"/>
      <c r="H113" s="235"/>
      <c r="I113" s="235"/>
      <c r="J113" s="235"/>
      <c r="K113" s="235">
        <v>110000</v>
      </c>
      <c r="L113" s="235"/>
      <c r="M113" s="235"/>
      <c r="N113" s="235"/>
      <c r="O113" s="235"/>
      <c r="P113" s="235"/>
      <c r="Q113" s="235"/>
      <c r="R113" s="459">
        <f t="shared" si="17"/>
        <v>110000</v>
      </c>
    </row>
    <row r="114" spans="1:19" s="94" customFormat="1" ht="37.5" x14ac:dyDescent="0.3">
      <c r="A114" s="465" t="s">
        <v>330</v>
      </c>
      <c r="B114" s="90"/>
      <c r="C114" s="252"/>
      <c r="D114" s="362"/>
      <c r="E114" s="403"/>
      <c r="F114" s="235"/>
      <c r="G114" s="235"/>
      <c r="H114" s="235"/>
      <c r="I114" s="235"/>
      <c r="J114" s="235"/>
      <c r="K114" s="252">
        <v>113000</v>
      </c>
      <c r="L114" s="235"/>
      <c r="M114" s="235"/>
      <c r="N114" s="235"/>
      <c r="O114" s="235"/>
      <c r="P114" s="235"/>
      <c r="Q114" s="235"/>
      <c r="R114" s="459">
        <f t="shared" si="17"/>
        <v>113000</v>
      </c>
    </row>
    <row r="115" spans="1:19" s="94" customFormat="1" ht="18.75" x14ac:dyDescent="0.3">
      <c r="A115" s="465" t="s">
        <v>331</v>
      </c>
      <c r="B115" s="90"/>
      <c r="C115" s="252"/>
      <c r="D115" s="362"/>
      <c r="E115" s="403"/>
      <c r="F115" s="235"/>
      <c r="G115" s="235"/>
      <c r="H115" s="235"/>
      <c r="I115" s="235"/>
      <c r="J115" s="235"/>
      <c r="K115" s="235">
        <v>25000</v>
      </c>
      <c r="L115" s="235"/>
      <c r="M115" s="235"/>
      <c r="N115" s="235"/>
      <c r="O115" s="235"/>
      <c r="P115" s="235"/>
      <c r="Q115" s="235"/>
      <c r="R115" s="459">
        <f t="shared" si="17"/>
        <v>25000</v>
      </c>
    </row>
    <row r="116" spans="1:19" s="94" customFormat="1" ht="18.75" x14ac:dyDescent="0.3">
      <c r="A116" s="465" t="s">
        <v>332</v>
      </c>
      <c r="B116" s="90"/>
      <c r="C116" s="252"/>
      <c r="D116" s="362"/>
      <c r="E116" s="403"/>
      <c r="F116" s="235"/>
      <c r="G116" s="235"/>
      <c r="H116" s="235"/>
      <c r="I116" s="235"/>
      <c r="J116" s="235"/>
      <c r="K116" s="235">
        <v>45000</v>
      </c>
      <c r="L116" s="235"/>
      <c r="M116" s="235"/>
      <c r="N116" s="235"/>
      <c r="O116" s="235"/>
      <c r="P116" s="235"/>
      <c r="Q116" s="235"/>
      <c r="R116" s="459">
        <f t="shared" si="17"/>
        <v>45000</v>
      </c>
    </row>
    <row r="117" spans="1:19" ht="19.5" thickBot="1" x14ac:dyDescent="0.35">
      <c r="A117" s="465" t="s">
        <v>147</v>
      </c>
      <c r="B117" s="284"/>
      <c r="C117" s="284"/>
      <c r="D117" s="284"/>
      <c r="E117" s="284"/>
      <c r="F117" s="284"/>
      <c r="G117" s="284"/>
      <c r="H117" s="284"/>
      <c r="I117" s="284"/>
      <c r="J117" s="284"/>
      <c r="K117" s="235">
        <v>280000</v>
      </c>
      <c r="L117" s="284"/>
      <c r="M117" s="284"/>
      <c r="N117" s="284"/>
      <c r="O117" s="284"/>
      <c r="P117" s="284"/>
      <c r="Q117" s="284"/>
      <c r="R117" s="459">
        <f t="shared" si="17"/>
        <v>280000</v>
      </c>
    </row>
    <row r="118" spans="1:19" ht="19.5" thickBot="1" x14ac:dyDescent="0.35">
      <c r="A118" s="404"/>
      <c r="B118" s="404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67" t="s">
        <v>16</v>
      </c>
      <c r="R118" s="405">
        <f>B98-R98</f>
        <v>-11495097.569999998</v>
      </c>
    </row>
    <row r="119" spans="1:19" ht="19.5" thickBot="1" x14ac:dyDescent="0.35">
      <c r="A119" s="404"/>
      <c r="B119" s="404"/>
      <c r="C119" s="404"/>
      <c r="D119" s="404"/>
      <c r="E119" s="404"/>
      <c r="F119" s="404"/>
      <c r="G119" s="404"/>
      <c r="H119" s="404"/>
      <c r="I119" s="404"/>
      <c r="J119" s="404"/>
      <c r="K119" s="404"/>
      <c r="L119" s="404"/>
      <c r="M119" s="404"/>
      <c r="N119" s="404"/>
      <c r="O119" s="404"/>
      <c r="P119" s="404"/>
      <c r="Q119" s="398"/>
      <c r="R119" s="481"/>
    </row>
    <row r="120" spans="1:19" ht="19.5" thickBot="1" x14ac:dyDescent="0.35">
      <c r="A120" s="439" t="s">
        <v>310</v>
      </c>
      <c r="B120" s="434">
        <v>4500000</v>
      </c>
      <c r="C120" s="441" t="s">
        <v>17</v>
      </c>
      <c r="D120" s="442" t="s">
        <v>288</v>
      </c>
      <c r="E120" s="443"/>
      <c r="F120" s="437">
        <f>SUM(F121:F126)</f>
        <v>9260.5499999999993</v>
      </c>
      <c r="G120" s="437">
        <f t="shared" ref="G120:Q120" si="18">SUM(G121:G126)</f>
        <v>462704.36</v>
      </c>
      <c r="H120" s="437">
        <f t="shared" si="18"/>
        <v>1309337.22</v>
      </c>
      <c r="I120" s="437">
        <f t="shared" si="18"/>
        <v>238521.60999999996</v>
      </c>
      <c r="J120" s="437">
        <f>SUM(J121:J126)</f>
        <v>1010547.6100000001</v>
      </c>
      <c r="K120" s="437">
        <f t="shared" si="18"/>
        <v>238521.60999999996</v>
      </c>
      <c r="L120" s="437">
        <f t="shared" si="18"/>
        <v>238521.60999999996</v>
      </c>
      <c r="M120" s="437">
        <f t="shared" si="18"/>
        <v>238521.60999999996</v>
      </c>
      <c r="N120" s="437">
        <f t="shared" si="18"/>
        <v>238616.08999999997</v>
      </c>
      <c r="O120" s="437">
        <f t="shared" si="18"/>
        <v>14226.09</v>
      </c>
      <c r="P120" s="437">
        <f t="shared" si="18"/>
        <v>14226.09</v>
      </c>
      <c r="Q120" s="437">
        <f t="shared" si="18"/>
        <v>14060.57</v>
      </c>
      <c r="R120" s="437">
        <f t="shared" ref="R120" si="19">SUM(F120:Q120)</f>
        <v>4027065.0199999986</v>
      </c>
    </row>
    <row r="121" spans="1:19" ht="93.75" x14ac:dyDescent="0.3">
      <c r="A121" s="474" t="s">
        <v>78</v>
      </c>
      <c r="B121" s="42"/>
      <c r="C121" s="236"/>
      <c r="D121" s="353"/>
      <c r="E121" s="268" t="s">
        <v>76</v>
      </c>
      <c r="F121" s="362"/>
      <c r="G121" s="362"/>
      <c r="H121" s="373">
        <v>1070872</v>
      </c>
      <c r="J121" s="373">
        <f>SUM(1685008-H121)</f>
        <v>614136</v>
      </c>
      <c r="K121" s="373"/>
      <c r="L121" s="377"/>
      <c r="M121" s="513"/>
      <c r="N121" s="377"/>
      <c r="O121" s="373"/>
      <c r="P121" s="373"/>
      <c r="Q121" s="373"/>
      <c r="R121" s="460">
        <f>SUM(F121:Q121)</f>
        <v>1685008</v>
      </c>
    </row>
    <row r="122" spans="1:19" ht="18.75" x14ac:dyDescent="0.3">
      <c r="A122" s="352" t="s">
        <v>149</v>
      </c>
      <c r="B122" s="90"/>
      <c r="C122" s="249"/>
      <c r="D122" s="362"/>
      <c r="E122" s="268" t="s">
        <v>347</v>
      </c>
      <c r="F122" s="252"/>
      <c r="G122" s="252"/>
      <c r="H122" s="484"/>
      <c r="I122" s="253"/>
      <c r="J122" s="485">
        <v>157890</v>
      </c>
      <c r="K122" s="485"/>
      <c r="L122" s="253"/>
      <c r="M122" s="383"/>
      <c r="N122" s="381"/>
      <c r="O122" s="253"/>
      <c r="P122" s="251"/>
      <c r="Q122" s="251"/>
      <c r="R122" s="459">
        <f t="shared" ref="R122:R126" si="20">SUM(F122:Q122)</f>
        <v>157890</v>
      </c>
    </row>
    <row r="123" spans="1:19" ht="56.25" x14ac:dyDescent="0.2">
      <c r="A123" s="352" t="s">
        <v>148</v>
      </c>
      <c r="B123" s="90"/>
      <c r="C123" s="249"/>
      <c r="D123" s="362"/>
      <c r="E123" s="268" t="s">
        <v>128</v>
      </c>
      <c r="F123" s="373">
        <v>9260.5499999999993</v>
      </c>
      <c r="G123" s="373">
        <v>9260.5499999999993</v>
      </c>
      <c r="H123" s="373">
        <v>9260.5499999999993</v>
      </c>
      <c r="I123" s="373">
        <v>9260.5499999999993</v>
      </c>
      <c r="J123" s="373">
        <v>9260.5499999999993</v>
      </c>
      <c r="K123" s="377">
        <v>9260.5499999999993</v>
      </c>
      <c r="L123" s="377">
        <v>9260.5499999999993</v>
      </c>
      <c r="M123" s="377">
        <v>9260.5499999999993</v>
      </c>
      <c r="N123" s="377">
        <v>9260.5499999999993</v>
      </c>
      <c r="O123" s="377">
        <v>9260.5499999999993</v>
      </c>
      <c r="P123" s="377">
        <v>9260.5499999999993</v>
      </c>
      <c r="Q123" s="377">
        <v>9260.5499999999993</v>
      </c>
      <c r="R123" s="459">
        <f t="shared" si="20"/>
        <v>111126.60000000002</v>
      </c>
    </row>
    <row r="124" spans="1:19" ht="18.75" x14ac:dyDescent="0.3">
      <c r="A124" s="352" t="s">
        <v>266</v>
      </c>
      <c r="B124" s="42"/>
      <c r="C124" s="42"/>
      <c r="D124" s="363"/>
      <c r="E124" s="364" t="s">
        <v>267</v>
      </c>
      <c r="F124" s="252"/>
      <c r="G124" s="484">
        <f>224295.52*2</f>
        <v>448591.04</v>
      </c>
      <c r="H124" s="484">
        <f>224295.52</f>
        <v>224295.52</v>
      </c>
      <c r="I124" s="484">
        <v>224295.52</v>
      </c>
      <c r="J124" s="484">
        <v>224295.52</v>
      </c>
      <c r="K124" s="473">
        <v>224295.52</v>
      </c>
      <c r="L124" s="473">
        <v>224295.52</v>
      </c>
      <c r="M124" s="473">
        <v>224295.52</v>
      </c>
      <c r="N124" s="473">
        <v>224390</v>
      </c>
      <c r="O124" s="473"/>
      <c r="P124" s="473"/>
      <c r="Q124" s="473"/>
      <c r="R124" s="459">
        <f t="shared" si="20"/>
        <v>2018754.16</v>
      </c>
      <c r="S124" s="508"/>
    </row>
    <row r="125" spans="1:19" ht="37.5" x14ac:dyDescent="0.3">
      <c r="A125" s="474" t="s">
        <v>135</v>
      </c>
      <c r="B125" s="42"/>
      <c r="C125" s="236"/>
      <c r="D125" s="353"/>
      <c r="E125" s="268" t="s">
        <v>115</v>
      </c>
      <c r="F125" s="377"/>
      <c r="G125" s="373">
        <v>2482.77</v>
      </c>
      <c r="H125" s="373">
        <v>2482.77</v>
      </c>
      <c r="I125" s="379">
        <v>2482.77</v>
      </c>
      <c r="J125" s="373">
        <v>2482.77</v>
      </c>
      <c r="K125" s="377">
        <v>2482.77</v>
      </c>
      <c r="L125" s="377">
        <v>2482.77</v>
      </c>
      <c r="M125" s="377">
        <v>2482.77</v>
      </c>
      <c r="N125" s="377">
        <v>2482.77</v>
      </c>
      <c r="O125" s="377">
        <v>2482.77</v>
      </c>
      <c r="P125" s="377">
        <v>2482.77</v>
      </c>
      <c r="Q125" s="377">
        <v>2317.25</v>
      </c>
      <c r="R125" s="459">
        <f t="shared" si="20"/>
        <v>27144.95</v>
      </c>
    </row>
    <row r="126" spans="1:19" ht="19.5" thickBot="1" x14ac:dyDescent="0.35">
      <c r="A126" s="474" t="s">
        <v>88</v>
      </c>
      <c r="B126" s="42"/>
      <c r="C126" s="236"/>
      <c r="D126" s="353"/>
      <c r="E126" s="269" t="s">
        <v>81</v>
      </c>
      <c r="F126" s="377"/>
      <c r="G126" s="373">
        <v>2370</v>
      </c>
      <c r="H126" s="373">
        <f>1185+1241.38</f>
        <v>2426.38</v>
      </c>
      <c r="I126" s="373">
        <v>2482.77</v>
      </c>
      <c r="J126" s="373">
        <v>2482.77</v>
      </c>
      <c r="K126" s="377">
        <v>2482.77</v>
      </c>
      <c r="L126" s="377">
        <v>2482.77</v>
      </c>
      <c r="M126" s="377">
        <v>2482.77</v>
      </c>
      <c r="N126" s="377">
        <v>2482.77</v>
      </c>
      <c r="O126" s="377">
        <v>2482.77</v>
      </c>
      <c r="P126" s="377">
        <v>2482.77</v>
      </c>
      <c r="Q126" s="482">
        <v>2482.77</v>
      </c>
      <c r="R126" s="459">
        <f t="shared" si="20"/>
        <v>27141.31</v>
      </c>
    </row>
    <row r="127" spans="1:19" ht="19.5" thickBot="1" x14ac:dyDescent="0.35">
      <c r="A127" s="404"/>
      <c r="B127" s="404"/>
      <c r="C127" s="404"/>
      <c r="D127" s="404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404"/>
      <c r="P127" s="404"/>
      <c r="Q127" s="36" t="s">
        <v>16</v>
      </c>
      <c r="R127" s="405">
        <f>B120-R120</f>
        <v>472934.98000000138</v>
      </c>
    </row>
    <row r="128" spans="1:19" ht="19.5" thickBot="1" x14ac:dyDescent="0.35">
      <c r="A128" s="404"/>
      <c r="B128" s="404"/>
      <c r="C128" s="404"/>
      <c r="D128" s="404"/>
      <c r="E128" s="404"/>
      <c r="F128" s="404"/>
      <c r="G128" s="404"/>
      <c r="H128" s="404"/>
      <c r="I128" s="404"/>
      <c r="J128" s="404"/>
      <c r="K128" s="404"/>
      <c r="L128" s="404"/>
      <c r="M128" s="404"/>
      <c r="N128" s="404"/>
      <c r="O128" s="404"/>
      <c r="P128" s="404"/>
      <c r="Q128" s="398"/>
      <c r="R128" s="481"/>
    </row>
    <row r="129" spans="1:21" ht="19.5" thickBot="1" x14ac:dyDescent="0.35">
      <c r="A129" s="439" t="s">
        <v>310</v>
      </c>
      <c r="B129" s="434">
        <v>5733</v>
      </c>
      <c r="C129" s="441" t="s">
        <v>17</v>
      </c>
      <c r="D129" s="442" t="s">
        <v>289</v>
      </c>
      <c r="E129" s="443"/>
      <c r="F129" s="437">
        <f>SUM(F130:F131)</f>
        <v>833</v>
      </c>
      <c r="G129" s="437">
        <f t="shared" ref="G129:Q129" si="21">SUM(G130:G131)</f>
        <v>0</v>
      </c>
      <c r="H129" s="437">
        <f t="shared" si="21"/>
        <v>0</v>
      </c>
      <c r="I129" s="437">
        <f t="shared" si="21"/>
        <v>0</v>
      </c>
      <c r="J129" s="437">
        <f t="shared" si="21"/>
        <v>0</v>
      </c>
      <c r="K129" s="437">
        <f t="shared" si="21"/>
        <v>3786000</v>
      </c>
      <c r="L129" s="437">
        <f t="shared" si="21"/>
        <v>0</v>
      </c>
      <c r="M129" s="437">
        <f t="shared" si="21"/>
        <v>0</v>
      </c>
      <c r="N129" s="437">
        <f t="shared" si="21"/>
        <v>0</v>
      </c>
      <c r="O129" s="437">
        <f t="shared" si="21"/>
        <v>0</v>
      </c>
      <c r="P129" s="437">
        <f t="shared" si="21"/>
        <v>0</v>
      </c>
      <c r="Q129" s="437">
        <f t="shared" si="21"/>
        <v>0</v>
      </c>
      <c r="R129" s="437">
        <f>SUM(F129:Q129)</f>
        <v>3786833</v>
      </c>
    </row>
    <row r="130" spans="1:21" ht="18.75" x14ac:dyDescent="0.3">
      <c r="A130" s="365" t="s">
        <v>269</v>
      </c>
      <c r="B130" s="42"/>
      <c r="C130" s="42"/>
      <c r="D130" s="363"/>
      <c r="E130" s="364" t="s">
        <v>268</v>
      </c>
      <c r="F130" s="469">
        <v>833</v>
      </c>
      <c r="G130" s="252"/>
      <c r="H130" s="383"/>
      <c r="I130" s="383"/>
      <c r="J130" s="91"/>
      <c r="K130" s="384"/>
      <c r="L130" s="384"/>
      <c r="M130" s="382"/>
      <c r="N130" s="382"/>
      <c r="O130" s="250"/>
      <c r="P130" s="11"/>
      <c r="Q130" s="11"/>
      <c r="R130" s="459">
        <f>SUM(F130:Q130)</f>
        <v>833</v>
      </c>
    </row>
    <row r="131" spans="1:21" ht="19.5" thickBot="1" x14ac:dyDescent="0.35">
      <c r="A131" s="465" t="s">
        <v>315</v>
      </c>
      <c r="B131" s="90"/>
      <c r="C131" s="252"/>
      <c r="D131" s="362"/>
      <c r="E131" s="403"/>
      <c r="F131" s="235"/>
      <c r="G131" s="235"/>
      <c r="H131" s="235"/>
      <c r="I131" s="235"/>
      <c r="J131" s="235"/>
      <c r="K131" s="235">
        <v>3786000</v>
      </c>
      <c r="L131" s="235"/>
      <c r="M131" s="235"/>
      <c r="N131" s="235"/>
      <c r="O131" s="235"/>
      <c r="P131" s="235"/>
      <c r="Q131" s="235"/>
      <c r="R131" s="459">
        <f>SUM(F131:Q131)</f>
        <v>3786000</v>
      </c>
      <c r="S131" s="483"/>
    </row>
    <row r="132" spans="1:21" ht="19.5" thickBot="1" x14ac:dyDescent="0.35">
      <c r="A132" s="404"/>
      <c r="B132" s="404"/>
      <c r="C132" s="404"/>
      <c r="D132" s="404"/>
      <c r="E132" s="404"/>
      <c r="F132" s="404"/>
      <c r="G132" s="404"/>
      <c r="H132" s="404"/>
      <c r="I132" s="404"/>
      <c r="J132" s="404"/>
      <c r="K132" s="404"/>
      <c r="L132" s="404"/>
      <c r="M132" s="404"/>
      <c r="N132" s="404"/>
      <c r="O132" s="404"/>
      <c r="P132" s="404"/>
      <c r="Q132" s="36" t="s">
        <v>16</v>
      </c>
      <c r="R132" s="405">
        <f>B129-R129</f>
        <v>-3781100</v>
      </c>
    </row>
    <row r="133" spans="1:21" ht="19.5" thickBot="1" x14ac:dyDescent="0.35">
      <c r="A133" s="21"/>
      <c r="B133" s="21"/>
      <c r="C133" s="21"/>
      <c r="D133" s="21"/>
      <c r="E133" s="21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398"/>
      <c r="R133" s="399"/>
    </row>
    <row r="134" spans="1:21" ht="19.5" thickBot="1" x14ac:dyDescent="0.35">
      <c r="A134" s="433" t="s">
        <v>26</v>
      </c>
      <c r="B134" s="434">
        <f>SUM(18098*2)+167078.73</f>
        <v>203274.73</v>
      </c>
      <c r="C134" s="435" t="s">
        <v>17</v>
      </c>
      <c r="D134" s="436"/>
      <c r="E134" s="436"/>
      <c r="F134" s="437">
        <f>SUM(F135:F136)</f>
        <v>18098</v>
      </c>
      <c r="G134" s="437">
        <f t="shared" ref="G134:Q134" si="22">SUM(G135:G136)</f>
        <v>18098</v>
      </c>
      <c r="H134" s="437">
        <f t="shared" si="22"/>
        <v>23804</v>
      </c>
      <c r="I134" s="437">
        <f t="shared" si="22"/>
        <v>29465.5</v>
      </c>
      <c r="J134" s="437">
        <f t="shared" si="22"/>
        <v>20000</v>
      </c>
      <c r="K134" s="437">
        <f t="shared" si="22"/>
        <v>20000</v>
      </c>
      <c r="L134" s="437">
        <f t="shared" si="22"/>
        <v>20000</v>
      </c>
      <c r="M134" s="437">
        <f t="shared" si="22"/>
        <v>20000</v>
      </c>
      <c r="N134" s="437">
        <f t="shared" si="22"/>
        <v>20000</v>
      </c>
      <c r="O134" s="437">
        <f t="shared" si="22"/>
        <v>20000</v>
      </c>
      <c r="P134" s="437">
        <f t="shared" si="22"/>
        <v>20000</v>
      </c>
      <c r="Q134" s="437">
        <f t="shared" si="22"/>
        <v>20000</v>
      </c>
      <c r="R134" s="438">
        <f>SUM(F134:Q134)</f>
        <v>249465.5</v>
      </c>
      <c r="U134" s="43"/>
    </row>
    <row r="135" spans="1:21" s="39" customFormat="1" ht="18.75" x14ac:dyDescent="0.3">
      <c r="A135" s="41" t="s">
        <v>43</v>
      </c>
      <c r="B135" s="41"/>
      <c r="C135" s="41"/>
      <c r="D135" s="363"/>
      <c r="E135" s="41" t="s">
        <v>44</v>
      </c>
      <c r="F135" s="5">
        <v>18098</v>
      </c>
      <c r="G135" s="5">
        <v>18098</v>
      </c>
      <c r="H135" s="5">
        <v>23804</v>
      </c>
      <c r="I135" s="5">
        <f>20000+9465.5</f>
        <v>29465.5</v>
      </c>
      <c r="J135" s="5">
        <v>20000</v>
      </c>
      <c r="K135" s="468">
        <v>20000</v>
      </c>
      <c r="L135" s="468">
        <v>20000</v>
      </c>
      <c r="M135" s="38">
        <v>20000</v>
      </c>
      <c r="N135" s="38">
        <v>20000</v>
      </c>
      <c r="O135" s="38">
        <v>20000</v>
      </c>
      <c r="P135" s="38">
        <v>20000</v>
      </c>
      <c r="Q135" s="38">
        <v>20000</v>
      </c>
      <c r="R135" s="79">
        <f>SUM(F135:Q135)</f>
        <v>249465.5</v>
      </c>
      <c r="S135" s="58"/>
    </row>
    <row r="136" spans="1:21" s="39" customFormat="1" ht="19.5" thickBot="1" x14ac:dyDescent="0.35">
      <c r="A136" s="41"/>
      <c r="B136" s="41"/>
      <c r="C136" s="41"/>
      <c r="D136" s="363"/>
      <c r="E136" s="41"/>
      <c r="F136" s="5"/>
      <c r="G136" s="5"/>
      <c r="H136" s="5"/>
      <c r="I136" s="5"/>
      <c r="J136" s="5"/>
      <c r="K136" s="5"/>
      <c r="L136" s="5"/>
      <c r="M136" s="5"/>
      <c r="N136" s="5"/>
      <c r="O136" s="51"/>
      <c r="P136" s="51"/>
      <c r="Q136" s="38"/>
      <c r="R136" s="79">
        <f>SUM(F136:Q136)</f>
        <v>0</v>
      </c>
      <c r="U136" s="58"/>
    </row>
    <row r="137" spans="1:21" ht="19.5" thickBot="1" x14ac:dyDescent="0.35">
      <c r="A137" s="25"/>
      <c r="B137" s="26"/>
      <c r="C137" s="9"/>
      <c r="D137" s="9"/>
      <c r="E137" s="9"/>
      <c r="F137" s="27"/>
      <c r="G137" s="28"/>
      <c r="H137" s="29"/>
      <c r="I137" s="29"/>
      <c r="J137" s="29"/>
      <c r="K137" s="29"/>
      <c r="L137" s="30"/>
      <c r="M137" s="29"/>
      <c r="N137" s="29"/>
      <c r="O137" s="29"/>
      <c r="P137" s="29"/>
      <c r="Q137" s="8" t="s">
        <v>16</v>
      </c>
      <c r="R137" s="10">
        <f>B134-R134</f>
        <v>-46190.76999999999</v>
      </c>
    </row>
    <row r="138" spans="1:21" ht="19.5" thickBot="1" x14ac:dyDescent="0.25">
      <c r="A138" s="31"/>
      <c r="B138" s="31"/>
      <c r="C138" s="31"/>
      <c r="D138" s="31"/>
      <c r="E138" s="31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</row>
    <row r="139" spans="1:21" ht="19.5" thickBot="1" x14ac:dyDescent="0.35">
      <c r="A139" s="433" t="s">
        <v>27</v>
      </c>
      <c r="B139" s="434">
        <f>42035324.6+7126630+56100+6329798.57</f>
        <v>55547853.170000002</v>
      </c>
      <c r="C139" s="435" t="s">
        <v>17</v>
      </c>
      <c r="D139" s="436"/>
      <c r="E139" s="436"/>
      <c r="F139" s="437">
        <f>SUM(F140:F156)</f>
        <v>7655833.4699999997</v>
      </c>
      <c r="G139" s="437">
        <f t="shared" ref="G139:Q139" si="23">SUM(G140:G156)</f>
        <v>7399786.4000000022</v>
      </c>
      <c r="H139" s="437">
        <f t="shared" si="23"/>
        <v>7505482.4500000011</v>
      </c>
      <c r="I139" s="437">
        <f t="shared" si="23"/>
        <v>7531819.8400000008</v>
      </c>
      <c r="J139" s="437">
        <f t="shared" si="23"/>
        <v>7465861.9899999993</v>
      </c>
      <c r="K139" s="437">
        <f t="shared" si="23"/>
        <v>9488094.2400000002</v>
      </c>
      <c r="L139" s="437">
        <f t="shared" si="23"/>
        <v>7347216.0599999996</v>
      </c>
      <c r="M139" s="437">
        <f t="shared" si="23"/>
        <v>7347216.0599999996</v>
      </c>
      <c r="N139" s="437">
        <f t="shared" si="23"/>
        <v>7347216.0599999996</v>
      </c>
      <c r="O139" s="437">
        <f t="shared" si="23"/>
        <v>7347216.0599999996</v>
      </c>
      <c r="P139" s="437">
        <f t="shared" si="23"/>
        <v>7347216.0599999996</v>
      </c>
      <c r="Q139" s="437">
        <f t="shared" si="23"/>
        <v>14517216.060000001</v>
      </c>
      <c r="R139" s="438">
        <f>SUM(F139:Q139)</f>
        <v>98300174.750000015</v>
      </c>
    </row>
    <row r="140" spans="1:21" s="39" customFormat="1" ht="18.75" x14ac:dyDescent="0.3">
      <c r="A140" s="494" t="s">
        <v>104</v>
      </c>
      <c r="B140" s="33"/>
      <c r="C140" s="33"/>
      <c r="D140" s="33"/>
      <c r="E140" s="329" t="s">
        <v>336</v>
      </c>
      <c r="F140" s="470">
        <f>6646062.13</f>
        <v>6646062.1299999999</v>
      </c>
      <c r="G140" s="470">
        <f>3032344.51+2907262.22+485054.11+20363.4+19.87+84.53+7300.42</f>
        <v>6452429.0600000015</v>
      </c>
      <c r="H140" s="470">
        <f>2976124.93+2971762.8+2487.22+485784.15+20363.39+443.31</f>
        <v>6456965.7999999998</v>
      </c>
      <c r="I140" s="470">
        <f>46.39+3070761.1+2977679.11+490323.87+23172</f>
        <v>6561982.4699999997</v>
      </c>
      <c r="J140" s="512">
        <f>6400000+247.02</f>
        <v>6400247.0199999996</v>
      </c>
      <c r="K140" s="236">
        <v>6400000</v>
      </c>
      <c r="L140" s="236">
        <v>6400000</v>
      </c>
      <c r="M140" s="236">
        <v>6400000</v>
      </c>
      <c r="N140" s="236">
        <v>6400000</v>
      </c>
      <c r="O140" s="236">
        <v>6400000</v>
      </c>
      <c r="P140" s="236">
        <v>6400000</v>
      </c>
      <c r="Q140" s="236">
        <f>6400000*2</f>
        <v>12800000</v>
      </c>
      <c r="R140" s="78">
        <f>SUM(F140:Q140)</f>
        <v>83717686.480000004</v>
      </c>
    </row>
    <row r="141" spans="1:21" s="39" customFormat="1" ht="18.75" x14ac:dyDescent="0.3">
      <c r="A141" s="233" t="s">
        <v>103</v>
      </c>
      <c r="B141" s="34"/>
      <c r="C141" s="34"/>
      <c r="D141" s="342"/>
      <c r="E141" s="463"/>
      <c r="F141" s="471">
        <v>772282.06</v>
      </c>
      <c r="G141" s="471">
        <f>657292.52+111597.21</f>
        <v>768889.73</v>
      </c>
      <c r="H141" s="471">
        <f>657252.42+112191.41</f>
        <v>769443.83000000007</v>
      </c>
      <c r="I141" s="471">
        <f>684674.4+111597.21</f>
        <v>796271.61</v>
      </c>
      <c r="J141" s="462">
        <v>770000</v>
      </c>
      <c r="K141" s="462">
        <v>770000</v>
      </c>
      <c r="L141" s="462">
        <v>770000</v>
      </c>
      <c r="M141" s="462">
        <v>770000</v>
      </c>
      <c r="N141" s="462">
        <v>770000</v>
      </c>
      <c r="O141" s="462">
        <v>770000</v>
      </c>
      <c r="P141" s="462">
        <v>770000</v>
      </c>
      <c r="Q141" s="462">
        <f>770000*2</f>
        <v>1540000</v>
      </c>
      <c r="R141" s="78">
        <f t="shared" ref="R141:R156" si="24">SUM(F141:Q141)</f>
        <v>10036887.23</v>
      </c>
    </row>
    <row r="142" spans="1:21" s="39" customFormat="1" ht="18.75" x14ac:dyDescent="0.3">
      <c r="A142" s="233" t="s">
        <v>105</v>
      </c>
      <c r="B142" s="34"/>
      <c r="C142" s="34"/>
      <c r="D142" s="342"/>
      <c r="E142" s="80" t="s">
        <v>53</v>
      </c>
      <c r="F142" s="462"/>
      <c r="G142" s="471">
        <f>3154.45</f>
        <v>3154.45</v>
      </c>
      <c r="H142" s="471">
        <v>3154.45</v>
      </c>
      <c r="I142" s="462"/>
      <c r="J142" s="462">
        <f t="shared" ref="J142:Q142" si="25">3012.69*2</f>
        <v>6025.38</v>
      </c>
      <c r="K142" s="462">
        <f t="shared" si="25"/>
        <v>6025.38</v>
      </c>
      <c r="L142" s="462">
        <f t="shared" si="25"/>
        <v>6025.38</v>
      </c>
      <c r="M142" s="462">
        <f t="shared" si="25"/>
        <v>6025.38</v>
      </c>
      <c r="N142" s="462">
        <f t="shared" si="25"/>
        <v>6025.38</v>
      </c>
      <c r="O142" s="462">
        <f t="shared" si="25"/>
        <v>6025.38</v>
      </c>
      <c r="P142" s="462">
        <f t="shared" si="25"/>
        <v>6025.38</v>
      </c>
      <c r="Q142" s="462">
        <f t="shared" si="25"/>
        <v>6025.38</v>
      </c>
      <c r="R142" s="78">
        <f t="shared" si="24"/>
        <v>54511.939999999995</v>
      </c>
      <c r="S142" s="319"/>
    </row>
    <row r="143" spans="1:21" s="39" customFormat="1" ht="20.25" x14ac:dyDescent="0.3">
      <c r="A143" s="233" t="s">
        <v>106</v>
      </c>
      <c r="B143" s="34"/>
      <c r="C143" s="34"/>
      <c r="D143" s="342"/>
      <c r="E143" s="80" t="s">
        <v>53</v>
      </c>
      <c r="F143" s="40"/>
      <c r="G143" s="40"/>
      <c r="H143" s="35">
        <f>102714.15+2282.54</f>
        <v>104996.68999999999</v>
      </c>
      <c r="I143" s="35">
        <f>6666.67+4050</f>
        <v>10716.67</v>
      </c>
      <c r="J143" s="77">
        <f>10880.66+107518.25</f>
        <v>118398.91</v>
      </c>
      <c r="K143" s="40">
        <f>44379</f>
        <v>44379</v>
      </c>
      <c r="L143" s="35"/>
      <c r="M143" s="35"/>
      <c r="N143" s="35"/>
      <c r="O143" s="35"/>
      <c r="P143" s="40"/>
      <c r="Q143" s="40"/>
      <c r="R143" s="78">
        <f t="shared" si="24"/>
        <v>278491.27</v>
      </c>
      <c r="S143" s="415"/>
    </row>
    <row r="144" spans="1:21" s="39" customFormat="1" ht="18.75" x14ac:dyDescent="0.3">
      <c r="A144" s="233" t="s">
        <v>91</v>
      </c>
      <c r="B144" s="34"/>
      <c r="C144" s="34"/>
      <c r="D144" s="342"/>
      <c r="E144" s="464"/>
      <c r="F144" s="35">
        <v>23694.61</v>
      </c>
      <c r="G144" s="35">
        <v>23694.61</v>
      </c>
      <c r="H144" s="35">
        <v>23694.61</v>
      </c>
      <c r="I144" s="40">
        <v>23742.21</v>
      </c>
      <c r="J144" s="40">
        <v>23742.21</v>
      </c>
      <c r="K144" s="40">
        <v>23742.21</v>
      </c>
      <c r="L144" s="40">
        <v>23742.21</v>
      </c>
      <c r="M144" s="40">
        <v>23742.21</v>
      </c>
      <c r="N144" s="40">
        <v>23742.21</v>
      </c>
      <c r="O144" s="40">
        <v>23742.21</v>
      </c>
      <c r="P144" s="40">
        <v>23742.21</v>
      </c>
      <c r="Q144" s="40">
        <v>23742.21</v>
      </c>
      <c r="R144" s="78">
        <f t="shared" si="24"/>
        <v>284763.71999999997</v>
      </c>
    </row>
    <row r="145" spans="1:21" s="39" customFormat="1" ht="18.75" x14ac:dyDescent="0.3">
      <c r="A145" s="233" t="s">
        <v>92</v>
      </c>
      <c r="B145" s="34"/>
      <c r="C145" s="34"/>
      <c r="D145" s="342"/>
      <c r="E145" s="464"/>
      <c r="F145" s="35">
        <v>1000</v>
      </c>
      <c r="G145" s="35">
        <v>1000</v>
      </c>
      <c r="H145" s="35">
        <v>1000</v>
      </c>
      <c r="I145" s="40">
        <v>1000</v>
      </c>
      <c r="J145" s="40">
        <v>1000</v>
      </c>
      <c r="K145" s="40">
        <v>1000</v>
      </c>
      <c r="L145" s="40">
        <v>1000</v>
      </c>
      <c r="M145" s="40">
        <v>1000</v>
      </c>
      <c r="N145" s="40">
        <v>1000</v>
      </c>
      <c r="O145" s="40">
        <v>1000</v>
      </c>
      <c r="P145" s="40">
        <v>1000</v>
      </c>
      <c r="Q145" s="40">
        <v>1000</v>
      </c>
      <c r="R145" s="78">
        <f t="shared" si="24"/>
        <v>12000</v>
      </c>
    </row>
    <row r="146" spans="1:21" s="39" customFormat="1" ht="18.75" x14ac:dyDescent="0.3">
      <c r="A146" s="233" t="s">
        <v>95</v>
      </c>
      <c r="B146" s="34"/>
      <c r="C146" s="34"/>
      <c r="D146" s="342"/>
      <c r="E146" s="464"/>
      <c r="F146" s="35">
        <v>13243.17</v>
      </c>
      <c r="G146" s="35">
        <v>13243.17</v>
      </c>
      <c r="H146" s="35">
        <v>13243.17</v>
      </c>
      <c r="I146" s="35">
        <f>5623.91+7619.26</f>
        <v>13243.17</v>
      </c>
      <c r="J146" s="40">
        <v>13243.17</v>
      </c>
      <c r="K146" s="40">
        <v>13243.17</v>
      </c>
      <c r="L146" s="40">
        <v>13243.17</v>
      </c>
      <c r="M146" s="40">
        <v>13243.17</v>
      </c>
      <c r="N146" s="40">
        <v>13243.17</v>
      </c>
      <c r="O146" s="40">
        <v>13243.17</v>
      </c>
      <c r="P146" s="40">
        <v>13243.17</v>
      </c>
      <c r="Q146" s="40">
        <v>13243.17</v>
      </c>
      <c r="R146" s="78">
        <f t="shared" si="24"/>
        <v>158918.04000000004</v>
      </c>
    </row>
    <row r="147" spans="1:21" s="39" customFormat="1" ht="18.75" x14ac:dyDescent="0.3">
      <c r="A147" s="233" t="s">
        <v>93</v>
      </c>
      <c r="B147" s="34"/>
      <c r="C147" s="34"/>
      <c r="D147" s="342"/>
      <c r="E147" s="464"/>
      <c r="F147" s="35">
        <v>2289.3200000000002</v>
      </c>
      <c r="G147" s="35">
        <v>2230.2800000000002</v>
      </c>
      <c r="H147" s="35">
        <v>2112.1999999999998</v>
      </c>
      <c r="I147" s="35">
        <v>2230.2800000000002</v>
      </c>
      <c r="J147" s="40">
        <v>2348.36</v>
      </c>
      <c r="K147" s="40">
        <v>2348.36</v>
      </c>
      <c r="L147" s="40">
        <v>2348.36</v>
      </c>
      <c r="M147" s="40">
        <v>2348.36</v>
      </c>
      <c r="N147" s="40">
        <v>2348.36</v>
      </c>
      <c r="O147" s="40">
        <v>2348.36</v>
      </c>
      <c r="P147" s="40">
        <v>2348.36</v>
      </c>
      <c r="Q147" s="40">
        <v>2348.36</v>
      </c>
      <c r="R147" s="78">
        <f t="shared" si="24"/>
        <v>27648.960000000003</v>
      </c>
    </row>
    <row r="148" spans="1:21" s="39" customFormat="1" ht="37.5" x14ac:dyDescent="0.3">
      <c r="A148" s="234" t="s">
        <v>102</v>
      </c>
      <c r="B148" s="34"/>
      <c r="C148" s="34"/>
      <c r="D148" s="342"/>
      <c r="E148" s="464"/>
      <c r="F148" s="35">
        <v>3508.74</v>
      </c>
      <c r="G148" s="35">
        <f>3728.74+3508.74</f>
        <v>7237.48</v>
      </c>
      <c r="H148" s="35">
        <v>3508.74</v>
      </c>
      <c r="I148" s="40">
        <v>3508.74</v>
      </c>
      <c r="J148" s="40">
        <v>3508.74</v>
      </c>
      <c r="K148" s="40">
        <v>3508.74</v>
      </c>
      <c r="L148" s="40">
        <v>3508.74</v>
      </c>
      <c r="M148" s="40">
        <v>3508.74</v>
      </c>
      <c r="N148" s="40">
        <v>3508.74</v>
      </c>
      <c r="O148" s="40">
        <v>3508.74</v>
      </c>
      <c r="P148" s="40">
        <v>3508.74</v>
      </c>
      <c r="Q148" s="40">
        <v>3508.74</v>
      </c>
      <c r="R148" s="78">
        <f t="shared" si="24"/>
        <v>45833.619999999981</v>
      </c>
    </row>
    <row r="149" spans="1:21" s="39" customFormat="1" ht="37.5" x14ac:dyDescent="0.3">
      <c r="A149" s="234" t="s">
        <v>94</v>
      </c>
      <c r="B149" s="34"/>
      <c r="C149" s="34"/>
      <c r="D149" s="342"/>
      <c r="E149" s="464"/>
      <c r="F149" s="35">
        <v>220</v>
      </c>
      <c r="G149" s="35">
        <v>220</v>
      </c>
      <c r="H149" s="35">
        <v>242</v>
      </c>
      <c r="I149" s="40">
        <v>220</v>
      </c>
      <c r="J149" s="40">
        <v>220</v>
      </c>
      <c r="K149" s="40">
        <v>220</v>
      </c>
      <c r="L149" s="40">
        <v>220</v>
      </c>
      <c r="M149" s="40">
        <v>220</v>
      </c>
      <c r="N149" s="40">
        <v>220</v>
      </c>
      <c r="O149" s="40">
        <v>220</v>
      </c>
      <c r="P149" s="40">
        <v>220</v>
      </c>
      <c r="Q149" s="40">
        <v>220</v>
      </c>
      <c r="R149" s="78">
        <f t="shared" si="24"/>
        <v>2662</v>
      </c>
    </row>
    <row r="150" spans="1:21" s="39" customFormat="1" ht="18.75" x14ac:dyDescent="0.3">
      <c r="A150" s="234" t="s">
        <v>54</v>
      </c>
      <c r="B150" s="34"/>
      <c r="C150" s="34"/>
      <c r="D150" s="342"/>
      <c r="E150" s="329"/>
      <c r="F150" s="52"/>
      <c r="G150" s="35"/>
      <c r="H150" s="40"/>
      <c r="I150" s="35"/>
      <c r="J150" s="35"/>
      <c r="K150" s="40">
        <v>2096499.18</v>
      </c>
      <c r="L150" s="328"/>
      <c r="M150" s="328"/>
      <c r="N150" s="40"/>
      <c r="O150" s="232"/>
      <c r="P150" s="416"/>
      <c r="Q150" s="40"/>
      <c r="R150" s="78">
        <f t="shared" si="24"/>
        <v>2096499.18</v>
      </c>
    </row>
    <row r="151" spans="1:21" s="39" customFormat="1" ht="18.75" x14ac:dyDescent="0.3">
      <c r="A151" s="234" t="s">
        <v>99</v>
      </c>
      <c r="B151" s="34"/>
      <c r="C151" s="34"/>
      <c r="D151" s="342"/>
      <c r="E151" s="81"/>
      <c r="F151" s="35">
        <f>36850.76/2</f>
        <v>18425.38</v>
      </c>
      <c r="G151" s="35">
        <f>36850.76/2</f>
        <v>18425.38</v>
      </c>
      <c r="H151" s="35">
        <v>19490.79</v>
      </c>
      <c r="I151" s="40">
        <v>17735.669999999998</v>
      </c>
      <c r="J151" s="40">
        <v>17735.669999999998</v>
      </c>
      <c r="K151" s="40">
        <v>17735.669999999998</v>
      </c>
      <c r="L151" s="40">
        <v>17735.669999999998</v>
      </c>
      <c r="M151" s="40">
        <v>17735.669999999998</v>
      </c>
      <c r="N151" s="40">
        <v>17735.669999999998</v>
      </c>
      <c r="O151" s="40">
        <v>17735.669999999998</v>
      </c>
      <c r="P151" s="40">
        <v>17735.669999999998</v>
      </c>
      <c r="Q151" s="40">
        <v>17735.669999999998</v>
      </c>
      <c r="R151" s="78">
        <f t="shared" si="24"/>
        <v>215962.57999999996</v>
      </c>
    </row>
    <row r="152" spans="1:21" s="39" customFormat="1" ht="18.75" x14ac:dyDescent="0.3">
      <c r="A152" s="234" t="s">
        <v>100</v>
      </c>
      <c r="B152" s="34"/>
      <c r="C152" s="34"/>
      <c r="D152" s="33"/>
      <c r="E152" s="33"/>
      <c r="F152" s="35">
        <v>6059.84</v>
      </c>
      <c r="G152" s="35">
        <v>8079.78</v>
      </c>
      <c r="H152" s="35">
        <v>6059.84</v>
      </c>
      <c r="I152" s="35">
        <v>6059.84</v>
      </c>
      <c r="J152" s="40">
        <v>6059.84</v>
      </c>
      <c r="K152" s="40">
        <v>6059.84</v>
      </c>
      <c r="L152" s="40">
        <v>6059.84</v>
      </c>
      <c r="M152" s="40">
        <v>6059.84</v>
      </c>
      <c r="N152" s="40">
        <v>6059.84</v>
      </c>
      <c r="O152" s="40">
        <v>6059.84</v>
      </c>
      <c r="P152" s="40">
        <v>6059.84</v>
      </c>
      <c r="Q152" s="40">
        <v>6059.84</v>
      </c>
      <c r="R152" s="78">
        <f t="shared" si="24"/>
        <v>74738.019999999975</v>
      </c>
    </row>
    <row r="153" spans="1:21" s="39" customFormat="1" ht="18.75" x14ac:dyDescent="0.3">
      <c r="A153" s="234" t="s">
        <v>101</v>
      </c>
      <c r="B153" s="34"/>
      <c r="C153" s="34"/>
      <c r="D153" s="33"/>
      <c r="E153" s="33"/>
      <c r="F153" s="35">
        <v>2772.47</v>
      </c>
      <c r="G153" s="35">
        <v>2772.47</v>
      </c>
      <c r="H153" s="35">
        <v>3160.34</v>
      </c>
      <c r="I153" s="40">
        <v>4027.51</v>
      </c>
      <c r="J153" s="40">
        <v>4027.51</v>
      </c>
      <c r="K153" s="40">
        <v>4027.51</v>
      </c>
      <c r="L153" s="40">
        <v>4027.51</v>
      </c>
      <c r="M153" s="40">
        <v>4027.51</v>
      </c>
      <c r="N153" s="40">
        <v>4027.51</v>
      </c>
      <c r="O153" s="40">
        <v>4027.51</v>
      </c>
      <c r="P153" s="40">
        <v>4027.51</v>
      </c>
      <c r="Q153" s="40">
        <v>4027.51</v>
      </c>
      <c r="R153" s="78">
        <f t="shared" si="24"/>
        <v>44952.87000000001</v>
      </c>
    </row>
    <row r="154" spans="1:21" s="39" customFormat="1" ht="18.75" x14ac:dyDescent="0.3">
      <c r="A154" s="234" t="s">
        <v>96</v>
      </c>
      <c r="B154" s="34"/>
      <c r="C154" s="34"/>
      <c r="D154" s="342"/>
      <c r="E154" s="34"/>
      <c r="F154" s="35">
        <f>48084.57+56415.64</f>
        <v>104500.20999999999</v>
      </c>
      <c r="G154" s="35">
        <v>36634.449999999997</v>
      </c>
      <c r="H154" s="35">
        <v>36634.449999999997</v>
      </c>
      <c r="I154" s="40">
        <v>38341.99</v>
      </c>
      <c r="J154" s="40">
        <v>38341.99</v>
      </c>
      <c r="K154" s="40">
        <v>38341.99</v>
      </c>
      <c r="L154" s="40">
        <v>38341.99</v>
      </c>
      <c r="M154" s="40">
        <v>38341.99</v>
      </c>
      <c r="N154" s="40">
        <v>38341.99</v>
      </c>
      <c r="O154" s="40">
        <v>38341.99</v>
      </c>
      <c r="P154" s="40">
        <v>38341.99</v>
      </c>
      <c r="Q154" s="40">
        <v>38341.99</v>
      </c>
      <c r="R154" s="78">
        <f t="shared" si="24"/>
        <v>522847.0199999999</v>
      </c>
    </row>
    <row r="155" spans="1:21" s="39" customFormat="1" ht="18.75" x14ac:dyDescent="0.3">
      <c r="A155" s="234" t="s">
        <v>97</v>
      </c>
      <c r="B155" s="34"/>
      <c r="C155" s="34"/>
      <c r="D155" s="342"/>
      <c r="E155" s="34"/>
      <c r="F155" s="35">
        <v>33884.35</v>
      </c>
      <c r="G155" s="35">
        <v>33884.35</v>
      </c>
      <c r="H155" s="77">
        <v>33884.35</v>
      </c>
      <c r="I155" s="35">
        <f>22589.56+2258.93</f>
        <v>24848.49</v>
      </c>
      <c r="J155" s="40">
        <v>33884.35</v>
      </c>
      <c r="K155" s="40">
        <v>33884.35</v>
      </c>
      <c r="L155" s="40">
        <v>33884.35</v>
      </c>
      <c r="M155" s="40">
        <v>33884.35</v>
      </c>
      <c r="N155" s="40">
        <v>33884.35</v>
      </c>
      <c r="O155" s="40">
        <v>33884.35</v>
      </c>
      <c r="P155" s="40">
        <v>33884.35</v>
      </c>
      <c r="Q155" s="40">
        <v>33884.35</v>
      </c>
      <c r="R155" s="78">
        <f t="shared" si="24"/>
        <v>397576.33999999991</v>
      </c>
    </row>
    <row r="156" spans="1:21" s="39" customFormat="1" ht="19.5" thickBot="1" x14ac:dyDescent="0.35">
      <c r="A156" s="234" t="s">
        <v>98</v>
      </c>
      <c r="B156" s="34"/>
      <c r="C156" s="34"/>
      <c r="D156" s="342"/>
      <c r="E156" s="342"/>
      <c r="F156" s="35">
        <v>27891.19</v>
      </c>
      <c r="G156" s="35">
        <v>27891.19</v>
      </c>
      <c r="H156" s="35">
        <v>27891.19</v>
      </c>
      <c r="I156" s="35">
        <v>27891.19</v>
      </c>
      <c r="J156" s="40">
        <v>27078.84</v>
      </c>
      <c r="K156" s="40">
        <v>27078.84</v>
      </c>
      <c r="L156" s="40">
        <v>27078.84</v>
      </c>
      <c r="M156" s="40">
        <v>27078.84</v>
      </c>
      <c r="N156" s="40">
        <v>27078.84</v>
      </c>
      <c r="O156" s="40">
        <v>27078.84</v>
      </c>
      <c r="P156" s="40">
        <v>27078.84</v>
      </c>
      <c r="Q156" s="40">
        <v>27078.84</v>
      </c>
      <c r="R156" s="78">
        <f t="shared" si="24"/>
        <v>328195.48000000004</v>
      </c>
      <c r="T156" s="50"/>
    </row>
    <row r="157" spans="1:21" ht="19.5" thickBot="1" x14ac:dyDescent="0.35">
      <c r="A157" s="21"/>
      <c r="B157" s="21"/>
      <c r="C157" s="21"/>
      <c r="D157" s="21"/>
      <c r="E157" s="21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36" t="s">
        <v>16</v>
      </c>
      <c r="R157" s="37">
        <f>B139-R139</f>
        <v>-42752321.580000013</v>
      </c>
      <c r="S157" s="50"/>
    </row>
    <row r="158" spans="1:21" ht="15" x14ac:dyDescent="0.2">
      <c r="F158" s="211"/>
      <c r="G158" s="50"/>
      <c r="S158" s="47"/>
      <c r="U158" s="50"/>
    </row>
    <row r="159" spans="1:21" ht="15" x14ac:dyDescent="0.2">
      <c r="E159" s="50"/>
      <c r="G159" s="47"/>
      <c r="L159" s="47"/>
      <c r="M159" s="286"/>
      <c r="U159" s="54"/>
    </row>
    <row r="160" spans="1:21" ht="18" x14ac:dyDescent="0.25">
      <c r="B160" s="50"/>
      <c r="H160" s="50"/>
      <c r="L160" s="47"/>
      <c r="M160" s="286"/>
      <c r="R160" s="14"/>
    </row>
    <row r="167" spans="17:17" ht="18.75" x14ac:dyDescent="0.2">
      <c r="Q167" s="417"/>
    </row>
    <row r="169" spans="17:17" x14ac:dyDescent="0.2">
      <c r="Q169" s="193"/>
    </row>
    <row r="170" spans="17:17" x14ac:dyDescent="0.2">
      <c r="Q170" s="43"/>
    </row>
  </sheetData>
  <mergeCells count="1">
    <mergeCell ref="S26:S30"/>
  </mergeCells>
  <phoneticPr fontId="40" type="noConversion"/>
  <pageMargins left="0.511811024" right="0.511811024" top="0.78740157499999996" bottom="0.78740157499999996" header="0.31496062000000002" footer="0.31496062000000002"/>
  <pageSetup paperSize="9" scale="31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B158-3057-49EC-8D98-7F75BD155FE3}">
  <dimension ref="A2:M38"/>
  <sheetViews>
    <sheetView showGridLines="0" workbookViewId="0">
      <selection activeCell="F18" sqref="F18:F19"/>
    </sheetView>
  </sheetViews>
  <sheetFormatPr defaultRowHeight="12.75" x14ac:dyDescent="0.2"/>
  <cols>
    <col min="1" max="1" width="17" customWidth="1"/>
    <col min="2" max="2" width="18.85546875" bestFit="1" customWidth="1"/>
    <col min="3" max="3" width="18.7109375" customWidth="1"/>
    <col min="4" max="4" width="18.85546875" customWidth="1"/>
    <col min="5" max="5" width="21.85546875" customWidth="1"/>
    <col min="6" max="6" width="13.7109375" customWidth="1"/>
    <col min="8" max="8" width="20.28515625" customWidth="1"/>
    <col min="9" max="9" width="18.85546875" bestFit="1" customWidth="1"/>
    <col min="10" max="10" width="18.140625" customWidth="1"/>
    <col min="11" max="11" width="21.42578125" customWidth="1"/>
    <col min="12" max="12" width="19.5703125" bestFit="1" customWidth="1"/>
    <col min="13" max="13" width="16.85546875" bestFit="1" customWidth="1"/>
  </cols>
  <sheetData>
    <row r="2" spans="1:13" ht="16.5" x14ac:dyDescent="0.2">
      <c r="A2" s="639" t="s">
        <v>307</v>
      </c>
      <c r="B2" s="639"/>
      <c r="C2" s="639"/>
      <c r="D2" s="639"/>
      <c r="E2" s="639"/>
      <c r="F2" s="639"/>
      <c r="H2" s="614" t="s">
        <v>308</v>
      </c>
      <c r="I2" s="614"/>
      <c r="J2" s="614"/>
      <c r="K2" s="614"/>
      <c r="L2" s="614"/>
      <c r="M2" s="614"/>
    </row>
    <row r="3" spans="1:13" ht="15.75" x14ac:dyDescent="0.2">
      <c r="A3" s="425" t="s">
        <v>166</v>
      </c>
      <c r="B3" s="425" t="s">
        <v>180</v>
      </c>
      <c r="C3" s="640" t="s">
        <v>181</v>
      </c>
      <c r="D3" s="640"/>
      <c r="E3" s="426" t="s">
        <v>182</v>
      </c>
      <c r="F3" s="425" t="s">
        <v>167</v>
      </c>
      <c r="H3" s="279" t="s">
        <v>166</v>
      </c>
      <c r="I3" s="279" t="s">
        <v>180</v>
      </c>
      <c r="J3" s="615" t="s">
        <v>181</v>
      </c>
      <c r="K3" s="615"/>
      <c r="L3" s="280" t="s">
        <v>182</v>
      </c>
      <c r="M3" s="279" t="s">
        <v>167</v>
      </c>
    </row>
    <row r="4" spans="1:13" ht="15" x14ac:dyDescent="0.2">
      <c r="A4" s="638" t="s">
        <v>168</v>
      </c>
      <c r="B4" s="608"/>
      <c r="C4" s="114"/>
      <c r="D4" s="113"/>
      <c r="E4" s="609">
        <f>B4-D7</f>
        <v>0</v>
      </c>
      <c r="F4" s="613"/>
      <c r="H4" s="604" t="s">
        <v>168</v>
      </c>
      <c r="I4" s="601"/>
      <c r="J4" s="114"/>
      <c r="K4" s="113"/>
      <c r="L4" s="595">
        <f ca="1">I4-K5</f>
        <v>0</v>
      </c>
      <c r="M4" s="598"/>
    </row>
    <row r="5" spans="1:13" ht="15" x14ac:dyDescent="0.2">
      <c r="A5" s="638"/>
      <c r="B5" s="608"/>
      <c r="C5" s="112"/>
      <c r="D5" s="113"/>
      <c r="E5" s="609"/>
      <c r="F5" s="613"/>
      <c r="H5" s="606"/>
      <c r="I5" s="603"/>
      <c r="J5" s="128" t="s">
        <v>183</v>
      </c>
      <c r="K5" s="129">
        <f ca="1">SUM(K4:K5)</f>
        <v>0</v>
      </c>
      <c r="L5" s="597"/>
      <c r="M5" s="600"/>
    </row>
    <row r="6" spans="1:13" ht="15" x14ac:dyDescent="0.2">
      <c r="A6" s="638"/>
      <c r="B6" s="608"/>
      <c r="C6" s="112"/>
      <c r="D6" s="113"/>
      <c r="E6" s="609"/>
      <c r="F6" s="613"/>
      <c r="H6" s="604" t="s">
        <v>169</v>
      </c>
      <c r="I6" s="601"/>
      <c r="J6" s="114"/>
      <c r="K6" s="113"/>
      <c r="L6" s="595">
        <f>I6-K9</f>
        <v>0</v>
      </c>
      <c r="M6" s="598"/>
    </row>
    <row r="7" spans="1:13" ht="15" x14ac:dyDescent="0.2">
      <c r="A7" s="638"/>
      <c r="B7" s="608"/>
      <c r="C7" s="128" t="s">
        <v>183</v>
      </c>
      <c r="D7" s="129">
        <f>SUM(D4:D6)</f>
        <v>0</v>
      </c>
      <c r="E7" s="609"/>
      <c r="F7" s="613"/>
      <c r="H7" s="605"/>
      <c r="I7" s="602"/>
      <c r="J7" s="112"/>
      <c r="K7" s="113"/>
      <c r="L7" s="596"/>
      <c r="M7" s="599"/>
    </row>
    <row r="8" spans="1:13" ht="15" x14ac:dyDescent="0.2">
      <c r="A8" s="638" t="s">
        <v>169</v>
      </c>
      <c r="B8" s="608"/>
      <c r="C8" s="114"/>
      <c r="D8" s="113"/>
      <c r="E8" s="609">
        <f>B8-D11</f>
        <v>0</v>
      </c>
      <c r="F8" s="613"/>
      <c r="H8" s="605"/>
      <c r="I8" s="602"/>
      <c r="J8" s="112"/>
      <c r="K8" s="113"/>
      <c r="L8" s="596"/>
      <c r="M8" s="599"/>
    </row>
    <row r="9" spans="1:13" ht="15" x14ac:dyDescent="0.2">
      <c r="A9" s="638"/>
      <c r="B9" s="608"/>
      <c r="C9" s="112"/>
      <c r="D9" s="113"/>
      <c r="E9" s="609"/>
      <c r="F9" s="613"/>
      <c r="H9" s="606"/>
      <c r="I9" s="603"/>
      <c r="J9" s="128" t="s">
        <v>183</v>
      </c>
      <c r="K9" s="129">
        <f>SUM(K6:K8)</f>
        <v>0</v>
      </c>
      <c r="L9" s="597"/>
      <c r="M9" s="600"/>
    </row>
    <row r="10" spans="1:13" ht="15" x14ac:dyDescent="0.2">
      <c r="A10" s="638"/>
      <c r="B10" s="608"/>
      <c r="C10" s="112"/>
      <c r="D10" s="113"/>
      <c r="E10" s="609"/>
      <c r="F10" s="613"/>
      <c r="H10" s="633" t="s">
        <v>152</v>
      </c>
      <c r="I10" s="634"/>
      <c r="J10" s="114"/>
      <c r="K10" s="113"/>
      <c r="L10" s="635">
        <f>I10-K12</f>
        <v>0</v>
      </c>
      <c r="M10" s="636"/>
    </row>
    <row r="11" spans="1:13" ht="15" x14ac:dyDescent="0.2">
      <c r="A11" s="638"/>
      <c r="B11" s="608"/>
      <c r="C11" s="128" t="s">
        <v>183</v>
      </c>
      <c r="D11" s="129">
        <f>SUM(D8:D10)</f>
        <v>0</v>
      </c>
      <c r="E11" s="609"/>
      <c r="F11" s="613"/>
      <c r="H11" s="633"/>
      <c r="I11" s="634"/>
      <c r="J11" s="114"/>
      <c r="K11" s="113"/>
      <c r="L11" s="635"/>
      <c r="M11" s="636"/>
    </row>
    <row r="12" spans="1:13" ht="15" x14ac:dyDescent="0.2">
      <c r="A12" s="638" t="s">
        <v>152</v>
      </c>
      <c r="B12" s="608"/>
      <c r="C12" s="114"/>
      <c r="D12" s="113"/>
      <c r="E12" s="609">
        <f>B12-D13</f>
        <v>0</v>
      </c>
      <c r="F12" s="613"/>
      <c r="H12" s="633"/>
      <c r="I12" s="634"/>
      <c r="J12" s="128" t="s">
        <v>183</v>
      </c>
      <c r="K12" s="129">
        <f>SUM(K10:K11)</f>
        <v>0</v>
      </c>
      <c r="L12" s="635"/>
      <c r="M12" s="636"/>
    </row>
    <row r="13" spans="1:13" ht="15" x14ac:dyDescent="0.2">
      <c r="A13" s="638"/>
      <c r="B13" s="608"/>
      <c r="C13" s="128" t="s">
        <v>183</v>
      </c>
      <c r="D13" s="129">
        <f>SUM(D12:D12)</f>
        <v>0</v>
      </c>
      <c r="E13" s="609"/>
      <c r="F13" s="613"/>
      <c r="H13" s="604" t="s">
        <v>170</v>
      </c>
      <c r="I13" s="601"/>
      <c r="J13" s="114"/>
      <c r="K13" s="113"/>
      <c r="L13" s="595">
        <f>I13-K16</f>
        <v>0</v>
      </c>
      <c r="M13" s="610"/>
    </row>
    <row r="14" spans="1:13" ht="15" x14ac:dyDescent="0.2">
      <c r="A14" s="638" t="s">
        <v>170</v>
      </c>
      <c r="B14" s="608"/>
      <c r="C14" s="114"/>
      <c r="D14" s="113"/>
      <c r="E14" s="609">
        <f>B14-D17</f>
        <v>0</v>
      </c>
      <c r="F14" s="613"/>
      <c r="H14" s="605"/>
      <c r="I14" s="602"/>
      <c r="J14" s="114"/>
      <c r="K14" s="113"/>
      <c r="L14" s="596"/>
      <c r="M14" s="611"/>
    </row>
    <row r="15" spans="1:13" ht="15" x14ac:dyDescent="0.2">
      <c r="A15" s="638"/>
      <c r="B15" s="608"/>
      <c r="C15" s="114"/>
      <c r="D15" s="113"/>
      <c r="E15" s="609"/>
      <c r="F15" s="613"/>
      <c r="H15" s="605"/>
      <c r="I15" s="602"/>
      <c r="J15" s="112"/>
      <c r="K15" s="113"/>
      <c r="L15" s="596"/>
      <c r="M15" s="611"/>
    </row>
    <row r="16" spans="1:13" ht="15" x14ac:dyDescent="0.2">
      <c r="A16" s="638"/>
      <c r="B16" s="608"/>
      <c r="C16" s="112"/>
      <c r="D16" s="113"/>
      <c r="E16" s="609"/>
      <c r="F16" s="613"/>
      <c r="H16" s="606"/>
      <c r="I16" s="603"/>
      <c r="J16" s="128" t="s">
        <v>183</v>
      </c>
      <c r="K16" s="129">
        <f>SUM(K13:K15)</f>
        <v>0</v>
      </c>
      <c r="L16" s="597"/>
      <c r="M16" s="612"/>
    </row>
    <row r="17" spans="1:13" ht="15" x14ac:dyDescent="0.2">
      <c r="A17" s="638"/>
      <c r="B17" s="608"/>
      <c r="C17" s="128" t="s">
        <v>183</v>
      </c>
      <c r="D17" s="129">
        <f>SUM(D14:D16)</f>
        <v>0</v>
      </c>
      <c r="E17" s="609"/>
      <c r="F17" s="613"/>
      <c r="H17" s="604" t="s">
        <v>171</v>
      </c>
      <c r="I17" s="601"/>
      <c r="J17" s="114"/>
      <c r="K17" s="113"/>
      <c r="L17" s="595">
        <f>I17-K18</f>
        <v>0</v>
      </c>
      <c r="M17" s="598"/>
    </row>
    <row r="18" spans="1:13" ht="15" x14ac:dyDescent="0.2">
      <c r="A18" s="638" t="s">
        <v>171</v>
      </c>
      <c r="B18" s="608"/>
      <c r="C18" s="114"/>
      <c r="D18" s="113"/>
      <c r="E18" s="609">
        <f>B18-D19</f>
        <v>0</v>
      </c>
      <c r="F18" s="613"/>
      <c r="H18" s="606"/>
      <c r="I18" s="603"/>
      <c r="J18" s="128" t="s">
        <v>183</v>
      </c>
      <c r="K18" s="129">
        <f>SUM(K17)</f>
        <v>0</v>
      </c>
      <c r="L18" s="597"/>
      <c r="M18" s="600"/>
    </row>
    <row r="19" spans="1:13" ht="15" x14ac:dyDescent="0.2">
      <c r="A19" s="638"/>
      <c r="B19" s="608"/>
      <c r="C19" s="128" t="s">
        <v>183</v>
      </c>
      <c r="D19" s="129">
        <f>SUM(D18)</f>
        <v>0</v>
      </c>
      <c r="E19" s="609"/>
      <c r="F19" s="613"/>
      <c r="H19" s="604" t="s">
        <v>172</v>
      </c>
      <c r="I19" s="601"/>
      <c r="J19" s="114"/>
      <c r="K19" s="113"/>
      <c r="L19" s="595">
        <f>I19-K22</f>
        <v>0</v>
      </c>
      <c r="M19" s="598"/>
    </row>
    <row r="20" spans="1:13" ht="15" x14ac:dyDescent="0.2">
      <c r="A20" s="638" t="s">
        <v>172</v>
      </c>
      <c r="B20" s="608"/>
      <c r="C20" s="114"/>
      <c r="D20" s="113"/>
      <c r="E20" s="609">
        <f>B20-D23</f>
        <v>0</v>
      </c>
      <c r="F20" s="598"/>
      <c r="H20" s="605"/>
      <c r="I20" s="602"/>
      <c r="J20" s="112"/>
      <c r="K20" s="113"/>
      <c r="L20" s="596"/>
      <c r="M20" s="599"/>
    </row>
    <row r="21" spans="1:13" ht="15" x14ac:dyDescent="0.2">
      <c r="A21" s="638"/>
      <c r="B21" s="608"/>
      <c r="C21" s="112"/>
      <c r="D21" s="113"/>
      <c r="E21" s="609"/>
      <c r="F21" s="599"/>
      <c r="H21" s="605"/>
      <c r="I21" s="602"/>
      <c r="J21" s="112"/>
      <c r="K21" s="113"/>
      <c r="L21" s="596"/>
      <c r="M21" s="599"/>
    </row>
    <row r="22" spans="1:13" ht="15" x14ac:dyDescent="0.2">
      <c r="A22" s="638"/>
      <c r="B22" s="608"/>
      <c r="C22" s="112"/>
      <c r="D22" s="113"/>
      <c r="E22" s="609"/>
      <c r="F22" s="599"/>
      <c r="H22" s="606"/>
      <c r="I22" s="603"/>
      <c r="J22" s="112" t="s">
        <v>183</v>
      </c>
      <c r="K22" s="113">
        <f>SUM(K19:K21)</f>
        <v>0</v>
      </c>
      <c r="L22" s="597"/>
      <c r="M22" s="600"/>
    </row>
    <row r="23" spans="1:13" ht="15" x14ac:dyDescent="0.2">
      <c r="A23" s="638"/>
      <c r="B23" s="608"/>
      <c r="C23" s="128" t="s">
        <v>183</v>
      </c>
      <c r="D23" s="129">
        <f>SUM(D20:D22)</f>
        <v>0</v>
      </c>
      <c r="E23" s="609"/>
      <c r="F23" s="600"/>
      <c r="H23" s="604" t="s">
        <v>174</v>
      </c>
      <c r="I23" s="601"/>
      <c r="J23" s="114"/>
      <c r="K23" s="113"/>
      <c r="L23" s="595">
        <f>I23-K23</f>
        <v>0</v>
      </c>
      <c r="M23" s="601"/>
    </row>
    <row r="24" spans="1:13" ht="15" x14ac:dyDescent="0.2">
      <c r="A24" s="638" t="s">
        <v>174</v>
      </c>
      <c r="B24" s="608"/>
      <c r="C24" s="114"/>
      <c r="D24" s="113"/>
      <c r="E24" s="609">
        <f>B24-D24</f>
        <v>0</v>
      </c>
      <c r="F24" s="608"/>
      <c r="H24" s="606"/>
      <c r="I24" s="603"/>
      <c r="J24" s="128" t="s">
        <v>183</v>
      </c>
      <c r="K24" s="129">
        <f>K23</f>
        <v>0</v>
      </c>
      <c r="L24" s="597"/>
      <c r="M24" s="603"/>
    </row>
    <row r="25" spans="1:13" ht="15" x14ac:dyDescent="0.2">
      <c r="A25" s="638"/>
      <c r="B25" s="608"/>
      <c r="C25" s="128" t="s">
        <v>183</v>
      </c>
      <c r="D25" s="129">
        <f>SUM(D24:D24)</f>
        <v>0</v>
      </c>
      <c r="E25" s="609"/>
      <c r="F25" s="613"/>
      <c r="H25" s="604" t="s">
        <v>185</v>
      </c>
      <c r="I25" s="601"/>
      <c r="J25" s="114"/>
      <c r="K25" s="113"/>
      <c r="L25" s="595">
        <f>I25-K28</f>
        <v>0</v>
      </c>
      <c r="M25" s="601"/>
    </row>
    <row r="26" spans="1:13" ht="15" x14ac:dyDescent="0.2">
      <c r="A26" s="638" t="s">
        <v>185</v>
      </c>
      <c r="B26" s="608"/>
      <c r="C26" s="114"/>
      <c r="D26" s="113"/>
      <c r="E26" s="609">
        <f>B26-D29</f>
        <v>0</v>
      </c>
      <c r="F26" s="608"/>
      <c r="H26" s="605"/>
      <c r="I26" s="602"/>
      <c r="J26" s="112"/>
      <c r="K26" s="113"/>
      <c r="L26" s="596"/>
      <c r="M26" s="602"/>
    </row>
    <row r="27" spans="1:13" ht="15" x14ac:dyDescent="0.2">
      <c r="A27" s="638"/>
      <c r="B27" s="608"/>
      <c r="C27" s="112"/>
      <c r="D27" s="113"/>
      <c r="E27" s="609"/>
      <c r="F27" s="608"/>
      <c r="H27" s="605"/>
      <c r="I27" s="602"/>
      <c r="J27" s="112"/>
      <c r="K27" s="113"/>
      <c r="L27" s="596"/>
      <c r="M27" s="602"/>
    </row>
    <row r="28" spans="1:13" ht="15" x14ac:dyDescent="0.2">
      <c r="A28" s="638"/>
      <c r="B28" s="608"/>
      <c r="C28" s="112"/>
      <c r="D28" s="113"/>
      <c r="E28" s="609"/>
      <c r="F28" s="608"/>
      <c r="H28" s="606"/>
      <c r="I28" s="603"/>
      <c r="J28" s="128" t="s">
        <v>183</v>
      </c>
      <c r="K28" s="129">
        <f>SUM(K25:K27)</f>
        <v>0</v>
      </c>
      <c r="L28" s="597"/>
      <c r="M28" s="603"/>
    </row>
    <row r="29" spans="1:13" ht="15" x14ac:dyDescent="0.2">
      <c r="A29" s="638"/>
      <c r="B29" s="608"/>
      <c r="C29" s="128" t="s">
        <v>183</v>
      </c>
      <c r="D29" s="129">
        <f>SUM(D26:D28)</f>
        <v>0</v>
      </c>
      <c r="E29" s="609"/>
      <c r="F29" s="608"/>
      <c r="H29" s="604" t="s">
        <v>176</v>
      </c>
      <c r="I29" s="601"/>
      <c r="J29" s="114"/>
      <c r="K29" s="113"/>
      <c r="L29" s="595">
        <f>I29-K32</f>
        <v>0</v>
      </c>
      <c r="M29" s="637"/>
    </row>
    <row r="30" spans="1:13" ht="15" x14ac:dyDescent="0.2">
      <c r="A30" s="638" t="s">
        <v>176</v>
      </c>
      <c r="B30" s="608"/>
      <c r="C30" s="114"/>
      <c r="D30" s="113"/>
      <c r="E30" s="609">
        <f>B30-D33</f>
        <v>0</v>
      </c>
      <c r="F30" s="637"/>
      <c r="H30" s="605"/>
      <c r="I30" s="602"/>
      <c r="J30" s="114"/>
      <c r="K30" s="113"/>
      <c r="L30" s="596"/>
      <c r="M30" s="611"/>
    </row>
    <row r="31" spans="1:13" ht="15" x14ac:dyDescent="0.2">
      <c r="A31" s="638"/>
      <c r="B31" s="608"/>
      <c r="C31" s="114"/>
      <c r="D31" s="113"/>
      <c r="E31" s="609"/>
      <c r="F31" s="611"/>
      <c r="H31" s="605"/>
      <c r="I31" s="602"/>
      <c r="J31" s="112"/>
      <c r="K31" s="113"/>
      <c r="L31" s="596"/>
      <c r="M31" s="611"/>
    </row>
    <row r="32" spans="1:13" ht="15" x14ac:dyDescent="0.2">
      <c r="A32" s="638"/>
      <c r="B32" s="608"/>
      <c r="C32" s="266"/>
      <c r="D32" s="267"/>
      <c r="E32" s="609"/>
      <c r="F32" s="611"/>
      <c r="H32" s="606"/>
      <c r="I32" s="603"/>
      <c r="J32" s="128" t="s">
        <v>183</v>
      </c>
      <c r="K32" s="129">
        <f>SUM(K29:K31)</f>
        <v>0</v>
      </c>
      <c r="L32" s="597"/>
      <c r="M32" s="612"/>
    </row>
    <row r="33" spans="1:13" ht="15" x14ac:dyDescent="0.2">
      <c r="A33" s="638"/>
      <c r="B33" s="608"/>
      <c r="C33" s="128" t="s">
        <v>183</v>
      </c>
      <c r="D33" s="129">
        <f>SUM(D30:D32)</f>
        <v>0</v>
      </c>
      <c r="E33" s="609"/>
      <c r="F33" s="612"/>
      <c r="H33" s="604" t="s">
        <v>177</v>
      </c>
      <c r="I33" s="601"/>
      <c r="J33" s="112"/>
      <c r="K33" s="113"/>
      <c r="L33" s="595">
        <f>I33-K36</f>
        <v>0</v>
      </c>
      <c r="M33" s="598"/>
    </row>
    <row r="34" spans="1:13" ht="15" x14ac:dyDescent="0.2">
      <c r="A34" s="638" t="s">
        <v>177</v>
      </c>
      <c r="B34" s="608"/>
      <c r="C34" s="112"/>
      <c r="D34" s="113"/>
      <c r="E34" s="609">
        <f>B34-D37</f>
        <v>0</v>
      </c>
      <c r="F34" s="613"/>
      <c r="H34" s="605"/>
      <c r="I34" s="602"/>
      <c r="J34" s="112"/>
      <c r="K34" s="113"/>
      <c r="L34" s="596"/>
      <c r="M34" s="599"/>
    </row>
    <row r="35" spans="1:13" ht="15" x14ac:dyDescent="0.2">
      <c r="A35" s="638"/>
      <c r="B35" s="608"/>
      <c r="C35" s="112"/>
      <c r="D35" s="113"/>
      <c r="E35" s="609"/>
      <c r="F35" s="613"/>
      <c r="H35" s="605"/>
      <c r="I35" s="602"/>
      <c r="J35" s="112"/>
      <c r="K35" s="113"/>
      <c r="L35" s="596"/>
      <c r="M35" s="599"/>
    </row>
    <row r="36" spans="1:13" ht="15" x14ac:dyDescent="0.2">
      <c r="A36" s="638"/>
      <c r="B36" s="608"/>
      <c r="C36" s="112"/>
      <c r="D36" s="113"/>
      <c r="E36" s="609"/>
      <c r="F36" s="613"/>
      <c r="H36" s="606"/>
      <c r="I36" s="603"/>
      <c r="J36" s="128" t="s">
        <v>183</v>
      </c>
      <c r="K36" s="129">
        <f>SUM(K33:K35)</f>
        <v>0</v>
      </c>
      <c r="L36" s="597"/>
      <c r="M36" s="600"/>
    </row>
    <row r="37" spans="1:13" ht="14.25" x14ac:dyDescent="0.2">
      <c r="A37" s="638"/>
      <c r="B37" s="608"/>
      <c r="C37" s="128" t="s">
        <v>183</v>
      </c>
      <c r="D37" s="129">
        <f>SUM(D34:D36)</f>
        <v>0</v>
      </c>
      <c r="E37" s="609"/>
      <c r="F37" s="613"/>
      <c r="H37" s="141" t="s">
        <v>187</v>
      </c>
      <c r="I37" s="142">
        <f>SUM(I4:I36)</f>
        <v>0</v>
      </c>
      <c r="J37" s="143"/>
      <c r="K37" s="144">
        <f ca="1">K36+K32+K28+K24+K22+K18+K16+K12+K9+K5</f>
        <v>0</v>
      </c>
      <c r="L37" s="145">
        <f ca="1">SUM(L4:L36)</f>
        <v>0</v>
      </c>
      <c r="M37" s="76"/>
    </row>
    <row r="38" spans="1:13" ht="14.25" x14ac:dyDescent="0.2">
      <c r="A38" s="450" t="s">
        <v>187</v>
      </c>
      <c r="B38" s="451">
        <f>SUM(B4:B37)</f>
        <v>0</v>
      </c>
      <c r="C38" s="452"/>
      <c r="D38" s="453">
        <f>D37+D33+D29+D25+D23+D19+D17+D13+D11+D7</f>
        <v>0</v>
      </c>
      <c r="E38" s="454">
        <f>SUM(E4:E37)</f>
        <v>0</v>
      </c>
    </row>
  </sheetData>
  <mergeCells count="84">
    <mergeCell ref="A2:F2"/>
    <mergeCell ref="H2:M2"/>
    <mergeCell ref="C3:D3"/>
    <mergeCell ref="J3:K3"/>
    <mergeCell ref="A4:A7"/>
    <mergeCell ref="B4:B7"/>
    <mergeCell ref="E4:E7"/>
    <mergeCell ref="F4:F7"/>
    <mergeCell ref="H4:H5"/>
    <mergeCell ref="I4:I5"/>
    <mergeCell ref="L4:L5"/>
    <mergeCell ref="M4:M5"/>
    <mergeCell ref="H6:H9"/>
    <mergeCell ref="I6:I9"/>
    <mergeCell ref="L6:L9"/>
    <mergeCell ref="M6:M9"/>
    <mergeCell ref="L10:L12"/>
    <mergeCell ref="M10:M12"/>
    <mergeCell ref="A12:A13"/>
    <mergeCell ref="B12:B13"/>
    <mergeCell ref="E12:E13"/>
    <mergeCell ref="F12:F13"/>
    <mergeCell ref="H13:H16"/>
    <mergeCell ref="I13:I16"/>
    <mergeCell ref="L13:L16"/>
    <mergeCell ref="M13:M16"/>
    <mergeCell ref="A8:A11"/>
    <mergeCell ref="B8:B11"/>
    <mergeCell ref="E8:E11"/>
    <mergeCell ref="F8:F11"/>
    <mergeCell ref="H10:H12"/>
    <mergeCell ref="I10:I12"/>
    <mergeCell ref="L17:L18"/>
    <mergeCell ref="M17:M18"/>
    <mergeCell ref="A18:A19"/>
    <mergeCell ref="B18:B19"/>
    <mergeCell ref="E18:E19"/>
    <mergeCell ref="F18:F19"/>
    <mergeCell ref="H19:H22"/>
    <mergeCell ref="I19:I22"/>
    <mergeCell ref="L19:L22"/>
    <mergeCell ref="M19:M22"/>
    <mergeCell ref="A14:A17"/>
    <mergeCell ref="B14:B17"/>
    <mergeCell ref="E14:E17"/>
    <mergeCell ref="F14:F17"/>
    <mergeCell ref="H17:H18"/>
    <mergeCell ref="I17:I18"/>
    <mergeCell ref="L23:L24"/>
    <mergeCell ref="M23:M24"/>
    <mergeCell ref="A24:A25"/>
    <mergeCell ref="B24:B25"/>
    <mergeCell ref="E24:E25"/>
    <mergeCell ref="F24:F25"/>
    <mergeCell ref="H25:H28"/>
    <mergeCell ref="I25:I28"/>
    <mergeCell ref="L25:L28"/>
    <mergeCell ref="M25:M28"/>
    <mergeCell ref="A20:A23"/>
    <mergeCell ref="B20:B23"/>
    <mergeCell ref="E20:E23"/>
    <mergeCell ref="F20:F23"/>
    <mergeCell ref="H23:H24"/>
    <mergeCell ref="I23:I24"/>
    <mergeCell ref="A34:A37"/>
    <mergeCell ref="I29:I32"/>
    <mergeCell ref="B34:B37"/>
    <mergeCell ref="E34:E37"/>
    <mergeCell ref="F34:F37"/>
    <mergeCell ref="F30:F33"/>
    <mergeCell ref="A26:A29"/>
    <mergeCell ref="B26:B29"/>
    <mergeCell ref="E26:E29"/>
    <mergeCell ref="F26:F29"/>
    <mergeCell ref="H29:H32"/>
    <mergeCell ref="A30:A33"/>
    <mergeCell ref="B30:B33"/>
    <mergeCell ref="E30:E33"/>
    <mergeCell ref="H33:H36"/>
    <mergeCell ref="L29:L32"/>
    <mergeCell ref="M29:M32"/>
    <mergeCell ref="L33:L36"/>
    <mergeCell ref="M33:M36"/>
    <mergeCell ref="I33:I36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4"/>
  <sheetViews>
    <sheetView showGridLines="0" workbookViewId="0">
      <selection activeCell="J22" sqref="J22"/>
    </sheetView>
  </sheetViews>
  <sheetFormatPr defaultRowHeight="12.75" x14ac:dyDescent="0.2"/>
  <cols>
    <col min="1" max="1" width="16" customWidth="1"/>
    <col min="2" max="2" width="18" customWidth="1"/>
    <col min="3" max="3" width="23.85546875" customWidth="1"/>
    <col min="4" max="4" width="32.5703125" customWidth="1"/>
    <col min="5" max="5" width="30.28515625" customWidth="1"/>
    <col min="6" max="6" width="33.85546875" customWidth="1"/>
    <col min="7" max="7" width="23.5703125" customWidth="1"/>
    <col min="8" max="8" width="15.140625" customWidth="1"/>
    <col min="9" max="9" width="18.140625" customWidth="1"/>
    <col min="10" max="10" width="18.7109375" customWidth="1"/>
    <col min="11" max="11" width="9.28515625" bestFit="1" customWidth="1"/>
    <col min="12" max="12" width="11.5703125" customWidth="1"/>
    <col min="13" max="13" width="16.28515625" customWidth="1"/>
    <col min="14" max="14" width="23.5703125" customWidth="1"/>
    <col min="15" max="15" width="15" customWidth="1"/>
    <col min="16" max="16" width="14.42578125" customWidth="1"/>
    <col min="17" max="17" width="30.28515625" customWidth="1"/>
  </cols>
  <sheetData>
    <row r="1" spans="1:14" ht="13.5" thickBot="1" x14ac:dyDescent="0.25"/>
    <row r="2" spans="1:14" ht="26.25" customHeight="1" thickBot="1" x14ac:dyDescent="0.25">
      <c r="A2" s="644" t="s">
        <v>197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6"/>
    </row>
    <row r="3" spans="1:14" s="76" customFormat="1" ht="35.25" customHeight="1" x14ac:dyDescent="0.2">
      <c r="A3" s="163" t="s">
        <v>201</v>
      </c>
      <c r="B3" s="163" t="s">
        <v>202</v>
      </c>
      <c r="C3" s="163" t="s">
        <v>22</v>
      </c>
      <c r="D3" s="163" t="s">
        <v>203</v>
      </c>
      <c r="E3" s="163" t="s">
        <v>204</v>
      </c>
      <c r="F3" s="163" t="s">
        <v>205</v>
      </c>
      <c r="G3" s="164" t="s">
        <v>206</v>
      </c>
      <c r="H3" s="163" t="s">
        <v>198</v>
      </c>
      <c r="I3" s="163" t="s">
        <v>207</v>
      </c>
      <c r="J3" s="163" t="s">
        <v>199</v>
      </c>
      <c r="K3" s="163" t="s">
        <v>208</v>
      </c>
      <c r="L3" s="163" t="s">
        <v>200</v>
      </c>
      <c r="M3" s="163" t="s">
        <v>209</v>
      </c>
    </row>
    <row r="4" spans="1:14" s="76" customFormat="1" ht="15" x14ac:dyDescent="0.2">
      <c r="A4" s="156"/>
      <c r="B4" s="156"/>
      <c r="C4" s="156"/>
      <c r="D4" s="157"/>
      <c r="E4" s="157"/>
      <c r="F4" s="156"/>
      <c r="G4" s="156"/>
      <c r="H4" s="156"/>
      <c r="I4" s="158"/>
      <c r="J4" s="156"/>
      <c r="K4" s="156"/>
      <c r="L4" s="159"/>
      <c r="M4" s="160"/>
    </row>
    <row r="5" spans="1:14" s="76" customFormat="1" ht="15" x14ac:dyDescent="0.2">
      <c r="A5" s="156"/>
      <c r="B5" s="156"/>
      <c r="C5" s="156"/>
      <c r="D5" s="157"/>
      <c r="E5" s="156"/>
      <c r="F5" s="156"/>
      <c r="G5" s="156"/>
      <c r="H5" s="156"/>
      <c r="I5" s="158"/>
      <c r="J5" s="156"/>
      <c r="K5" s="156"/>
      <c r="L5" s="159"/>
      <c r="M5" s="160"/>
    </row>
    <row r="6" spans="1:14" s="76" customFormat="1" ht="15" x14ac:dyDescent="0.2">
      <c r="A6" s="156"/>
      <c r="B6" s="156"/>
      <c r="C6" s="156"/>
      <c r="D6" s="157"/>
      <c r="E6" s="156"/>
      <c r="F6" s="156"/>
      <c r="G6" s="156"/>
      <c r="H6" s="156"/>
      <c r="I6" s="158"/>
      <c r="J6" s="156"/>
      <c r="K6" s="156"/>
      <c r="L6" s="159"/>
      <c r="M6" s="160"/>
    </row>
    <row r="7" spans="1:14" s="161" customFormat="1" ht="15" x14ac:dyDescent="0.2">
      <c r="A7" s="156"/>
      <c r="B7" s="156"/>
      <c r="C7" s="156"/>
      <c r="D7" s="157"/>
      <c r="E7" s="157"/>
      <c r="F7" s="156"/>
      <c r="G7" s="156"/>
      <c r="H7" s="156"/>
      <c r="I7" s="158"/>
      <c r="J7" s="156"/>
      <c r="K7" s="156"/>
      <c r="L7" s="159"/>
      <c r="M7" s="160"/>
    </row>
    <row r="8" spans="1:14" s="92" customFormat="1" ht="15" x14ac:dyDescent="0.25">
      <c r="A8" s="184"/>
      <c r="B8" s="184"/>
      <c r="C8" s="184"/>
      <c r="D8" s="186"/>
      <c r="E8" s="184"/>
      <c r="F8" s="184"/>
      <c r="G8" s="311"/>
      <c r="H8" s="155"/>
      <c r="I8" s="254"/>
      <c r="J8" s="156"/>
      <c r="K8" s="184"/>
      <c r="L8" s="185"/>
      <c r="M8" s="160"/>
      <c r="N8" s="231"/>
    </row>
    <row r="9" spans="1:14" s="92" customFormat="1" ht="15" x14ac:dyDescent="0.25">
      <c r="A9" s="255"/>
      <c r="B9" s="255"/>
      <c r="C9" s="184"/>
      <c r="D9" s="186"/>
      <c r="E9" s="184"/>
      <c r="F9" s="255"/>
      <c r="G9" s="184"/>
      <c r="H9" s="256"/>
      <c r="I9" s="254"/>
      <c r="J9" s="156"/>
      <c r="K9" s="184"/>
      <c r="L9" s="185"/>
      <c r="M9" s="257"/>
      <c r="N9" s="258"/>
    </row>
    <row r="10" spans="1:14" s="92" customFormat="1" ht="15" x14ac:dyDescent="0.25">
      <c r="A10" s="156"/>
      <c r="B10" s="156"/>
      <c r="C10" s="255"/>
      <c r="D10" s="157"/>
      <c r="E10" s="255"/>
      <c r="F10" s="255"/>
      <c r="G10" s="255"/>
      <c r="H10" s="256"/>
      <c r="I10" s="281"/>
      <c r="J10" s="156"/>
      <c r="K10" s="156"/>
      <c r="L10" s="159"/>
      <c r="M10" s="257"/>
      <c r="N10" s="258"/>
    </row>
    <row r="11" spans="1:14" s="299" customFormat="1" ht="15" x14ac:dyDescent="0.2">
      <c r="A11" s="255"/>
      <c r="B11" s="255"/>
      <c r="C11" s="255"/>
      <c r="D11" s="157"/>
      <c r="E11" s="255"/>
      <c r="F11" s="255"/>
      <c r="G11" s="255"/>
      <c r="H11" s="282"/>
      <c r="I11" s="298"/>
      <c r="J11" s="156"/>
      <c r="K11" s="156"/>
      <c r="L11" s="159"/>
      <c r="M11" s="257"/>
      <c r="N11" s="297"/>
    </row>
    <row r="12" spans="1:14" s="299" customFormat="1" ht="15" x14ac:dyDescent="0.2">
      <c r="A12" s="184"/>
      <c r="B12" s="184"/>
      <c r="C12" s="184"/>
      <c r="D12" s="186"/>
      <c r="E12" s="184"/>
      <c r="F12" s="255"/>
      <c r="G12" s="255"/>
      <c r="H12" s="282"/>
      <c r="I12" s="298"/>
      <c r="J12" s="156"/>
      <c r="K12" s="156"/>
      <c r="L12" s="159"/>
      <c r="M12" s="257"/>
      <c r="N12" s="297"/>
    </row>
    <row r="13" spans="1:14" s="92" customFormat="1" ht="15" x14ac:dyDescent="0.25">
      <c r="A13" s="641"/>
      <c r="B13" s="642"/>
      <c r="C13" s="642"/>
      <c r="D13" s="642"/>
      <c r="E13" s="642"/>
      <c r="F13" s="642"/>
      <c r="G13" s="642"/>
      <c r="H13" s="642"/>
      <c r="I13" s="642"/>
      <c r="J13" s="642"/>
      <c r="K13" s="642"/>
      <c r="L13" s="643"/>
      <c r="M13" s="162">
        <f>SUM(M4:M12)</f>
        <v>0</v>
      </c>
    </row>
    <row r="14" spans="1:14" x14ac:dyDescent="0.2">
      <c r="M14" s="193"/>
    </row>
    <row r="15" spans="1:14" x14ac:dyDescent="0.2">
      <c r="M15" s="193"/>
    </row>
    <row r="21" spans="1:17" s="76" customFormat="1" ht="26.25" customHeight="1" thickBot="1" x14ac:dyDescent="0.25">
      <c r="A21" s="644" t="s">
        <v>212</v>
      </c>
      <c r="B21" s="645"/>
      <c r="C21" s="645"/>
      <c r="D21" s="645"/>
      <c r="E21" s="645"/>
      <c r="F21" s="645"/>
      <c r="G21" s="645"/>
      <c r="H21" s="645"/>
      <c r="I21" s="645"/>
      <c r="J21" s="645"/>
      <c r="K21" s="645"/>
      <c r="L21" s="645"/>
      <c r="M21" s="645"/>
      <c r="N21" s="645"/>
      <c r="O21" s="645"/>
      <c r="P21" s="646"/>
    </row>
    <row r="22" spans="1:17" ht="26.25" customHeight="1" x14ac:dyDescent="0.2">
      <c r="A22" s="166" t="s">
        <v>201</v>
      </c>
      <c r="B22" s="165" t="s">
        <v>213</v>
      </c>
      <c r="C22" s="165" t="s">
        <v>202</v>
      </c>
      <c r="D22" s="165" t="s">
        <v>22</v>
      </c>
      <c r="E22" s="165" t="s">
        <v>203</v>
      </c>
      <c r="F22" s="165" t="s">
        <v>214</v>
      </c>
      <c r="G22" s="165" t="s">
        <v>215</v>
      </c>
      <c r="H22" s="165" t="s">
        <v>216</v>
      </c>
      <c r="I22" s="165" t="s">
        <v>217</v>
      </c>
      <c r="J22" s="165" t="s">
        <v>199</v>
      </c>
      <c r="K22" s="165" t="s">
        <v>208</v>
      </c>
      <c r="L22" s="165" t="s">
        <v>200</v>
      </c>
      <c r="M22" s="165" t="s">
        <v>209</v>
      </c>
      <c r="N22" s="165" t="s">
        <v>210</v>
      </c>
      <c r="O22" s="165" t="s">
        <v>211</v>
      </c>
      <c r="P22" s="165" t="s">
        <v>16</v>
      </c>
      <c r="Q22" s="94"/>
    </row>
    <row r="23" spans="1:17" s="76" customFormat="1" ht="15" x14ac:dyDescent="0.2">
      <c r="A23" s="156"/>
      <c r="B23" s="156"/>
      <c r="C23" s="156"/>
      <c r="D23" s="156"/>
      <c r="E23" s="157"/>
      <c r="F23" s="157"/>
      <c r="G23" s="158"/>
      <c r="H23" s="156"/>
      <c r="I23" s="158"/>
      <c r="J23" s="156"/>
      <c r="K23" s="156"/>
      <c r="L23" s="159"/>
      <c r="M23" s="160"/>
      <c r="N23" s="424"/>
      <c r="O23" s="422"/>
      <c r="P23" s="156"/>
      <c r="Q23" s="421"/>
    </row>
    <row r="24" spans="1:17" s="76" customFormat="1" ht="15" x14ac:dyDescent="0.2">
      <c r="A24" s="156"/>
      <c r="B24" s="156"/>
      <c r="C24" s="156"/>
      <c r="D24" s="156"/>
      <c r="E24" s="157"/>
      <c r="F24" s="157"/>
      <c r="G24" s="158"/>
      <c r="H24" s="156"/>
      <c r="I24" s="158"/>
      <c r="J24" s="156"/>
      <c r="K24" s="156"/>
      <c r="L24" s="159"/>
      <c r="M24" s="160"/>
      <c r="N24" s="282"/>
      <c r="O24" s="423"/>
      <c r="P24" s="160"/>
      <c r="Q24" s="264"/>
    </row>
    <row r="25" spans="1:17" s="76" customFormat="1" ht="15" x14ac:dyDescent="0.2">
      <c r="A25" s="156"/>
      <c r="B25" s="156"/>
      <c r="C25" s="156"/>
      <c r="D25" s="156"/>
      <c r="E25" s="157"/>
      <c r="F25" s="157"/>
      <c r="G25" s="158"/>
      <c r="H25" s="156"/>
      <c r="I25" s="158"/>
      <c r="J25" s="156"/>
      <c r="K25" s="156"/>
      <c r="L25" s="159"/>
      <c r="M25" s="160"/>
      <c r="N25" s="424"/>
      <c r="O25" s="422"/>
      <c r="P25" s="160"/>
      <c r="Q25" s="278"/>
    </row>
    <row r="26" spans="1:17" s="76" customFormat="1" ht="15" x14ac:dyDescent="0.2">
      <c r="A26" s="156"/>
      <c r="B26" s="156"/>
      <c r="C26" s="156"/>
      <c r="D26" s="156"/>
      <c r="E26" s="157"/>
      <c r="F26" s="157"/>
      <c r="G26" s="158"/>
      <c r="H26" s="156"/>
      <c r="I26" s="158"/>
      <c r="J26" s="156"/>
      <c r="K26" s="156"/>
      <c r="L26" s="159"/>
      <c r="M26" s="160"/>
      <c r="N26" s="156"/>
      <c r="O26" s="156"/>
      <c r="P26" s="160"/>
      <c r="Q26" s="264"/>
    </row>
    <row r="27" spans="1:17" s="76" customFormat="1" ht="15" x14ac:dyDescent="0.2">
      <c r="A27" s="156"/>
      <c r="B27" s="156"/>
      <c r="C27" s="156"/>
      <c r="D27" s="156"/>
      <c r="E27" s="157"/>
      <c r="F27" s="157"/>
      <c r="G27" s="158"/>
      <c r="H27" s="156"/>
      <c r="I27" s="158"/>
      <c r="J27" s="156"/>
      <c r="K27" s="156"/>
      <c r="L27" s="159"/>
      <c r="M27" s="160"/>
      <c r="N27" s="156"/>
      <c r="O27" s="160"/>
      <c r="P27" s="160"/>
      <c r="Q27" s="278"/>
    </row>
    <row r="28" spans="1:17" ht="15" x14ac:dyDescent="0.25">
      <c r="A28" s="156"/>
      <c r="B28" s="156"/>
      <c r="C28" s="156"/>
      <c r="D28" s="282"/>
      <c r="E28" s="157"/>
      <c r="F28" s="287"/>
      <c r="G28" s="158"/>
      <c r="H28" s="157"/>
      <c r="I28" s="158"/>
      <c r="J28" s="156"/>
      <c r="K28" s="156"/>
      <c r="L28" s="159"/>
      <c r="M28" s="160"/>
      <c r="N28" s="156"/>
      <c r="O28" s="156"/>
      <c r="P28" s="160"/>
    </row>
    <row r="29" spans="1:17" s="96" customFormat="1" ht="15" x14ac:dyDescent="0.2">
      <c r="A29" s="156"/>
      <c r="B29" s="156"/>
      <c r="C29" s="156"/>
      <c r="D29" s="288"/>
      <c r="E29" s="157"/>
      <c r="F29" s="157"/>
      <c r="G29" s="158"/>
      <c r="H29" s="156"/>
      <c r="I29" s="158"/>
      <c r="J29" s="289"/>
      <c r="K29" s="156"/>
      <c r="L29" s="159"/>
      <c r="M29" s="160"/>
      <c r="N29" s="156"/>
      <c r="O29" s="156"/>
      <c r="P29" s="160"/>
    </row>
    <row r="30" spans="1:17" s="76" customFormat="1" ht="15" x14ac:dyDescent="0.2">
      <c r="A30" s="156"/>
      <c r="B30" s="156"/>
      <c r="C30" s="156"/>
      <c r="D30" s="156"/>
      <c r="E30" s="157"/>
      <c r="F30" s="157"/>
      <c r="G30" s="158"/>
      <c r="H30" s="156"/>
      <c r="I30" s="158"/>
      <c r="J30" s="156"/>
      <c r="K30" s="156"/>
      <c r="L30" s="159"/>
      <c r="M30" s="160"/>
      <c r="N30" s="293"/>
      <c r="O30" s="293"/>
      <c r="P30" s="160"/>
    </row>
    <row r="31" spans="1:17" s="76" customFormat="1" ht="15" x14ac:dyDescent="0.2">
      <c r="A31" s="156"/>
      <c r="B31" s="156"/>
      <c r="C31" s="156"/>
      <c r="D31" s="156"/>
      <c r="E31" s="157"/>
      <c r="F31" s="157"/>
      <c r="G31" s="158"/>
      <c r="H31" s="156"/>
      <c r="I31" s="158"/>
      <c r="J31" s="156"/>
      <c r="K31" s="156"/>
      <c r="L31" s="159"/>
      <c r="M31" s="160"/>
      <c r="N31" s="293"/>
      <c r="O31" s="293"/>
      <c r="P31" s="160"/>
    </row>
    <row r="32" spans="1:17" ht="15" x14ac:dyDescent="0.25">
      <c r="A32" s="156"/>
      <c r="B32" s="156"/>
      <c r="C32" s="156"/>
      <c r="D32" s="156"/>
      <c r="E32" s="157"/>
      <c r="F32" s="287"/>
      <c r="G32" s="158"/>
      <c r="H32" s="156"/>
      <c r="I32" s="158"/>
      <c r="J32" s="156"/>
      <c r="K32" s="156"/>
      <c r="L32" s="159"/>
      <c r="M32" s="160"/>
      <c r="N32" s="99"/>
      <c r="O32" s="99"/>
      <c r="P32" s="160"/>
    </row>
    <row r="33" spans="1:16" ht="15" x14ac:dyDescent="0.25">
      <c r="A33" s="156"/>
      <c r="B33" s="156"/>
      <c r="C33" s="156"/>
      <c r="D33" s="288"/>
      <c r="E33" s="157"/>
      <c r="F33" s="157"/>
      <c r="G33" s="158"/>
      <c r="H33" s="156"/>
      <c r="I33" s="158"/>
      <c r="J33" s="156"/>
      <c r="K33" s="156"/>
      <c r="L33" s="159"/>
      <c r="M33" s="160"/>
      <c r="N33" s="99"/>
      <c r="O33" s="99"/>
      <c r="P33" s="160"/>
    </row>
    <row r="34" spans="1:16" ht="15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300">
        <f>SUM(P23:P33)</f>
        <v>0</v>
      </c>
    </row>
  </sheetData>
  <mergeCells count="3">
    <mergeCell ref="A13:L13"/>
    <mergeCell ref="A2:M2"/>
    <mergeCell ref="A21:P21"/>
  </mergeCells>
  <phoneticPr fontId="4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N35"/>
  <sheetViews>
    <sheetView showGridLines="0" zoomScale="130" zoomScaleNormal="130" workbookViewId="0">
      <selection activeCell="J6" sqref="J6"/>
    </sheetView>
  </sheetViews>
  <sheetFormatPr defaultRowHeight="12.75" x14ac:dyDescent="0.2"/>
  <cols>
    <col min="1" max="1" width="12.28515625" customWidth="1"/>
    <col min="2" max="2" width="26.28515625" hidden="1" customWidth="1"/>
    <col min="3" max="3" width="11.5703125" customWidth="1"/>
    <col min="4" max="4" width="18.28515625" bestFit="1" customWidth="1"/>
    <col min="5" max="6" width="18.42578125" customWidth="1"/>
    <col min="7" max="7" width="16" customWidth="1"/>
    <col min="8" max="8" width="18.28515625" customWidth="1"/>
    <col min="9" max="9" width="20.140625" bestFit="1" customWidth="1"/>
    <col min="10" max="10" width="15.7109375" bestFit="1" customWidth="1"/>
    <col min="11" max="11" width="17.42578125" customWidth="1"/>
    <col min="12" max="12" width="16.42578125" bestFit="1" customWidth="1"/>
    <col min="13" max="13" width="14.5703125" bestFit="1" customWidth="1"/>
  </cols>
  <sheetData>
    <row r="1" spans="1:14" ht="13.5" thickBot="1" x14ac:dyDescent="0.25"/>
    <row r="2" spans="1:14" ht="23.25" customHeight="1" x14ac:dyDescent="0.2">
      <c r="A2" s="522" t="s">
        <v>309</v>
      </c>
      <c r="B2" s="523"/>
      <c r="C2" s="523"/>
      <c r="D2" s="524"/>
      <c r="E2" s="524"/>
      <c r="F2" s="524"/>
      <c r="G2" s="524"/>
      <c r="H2" s="524"/>
      <c r="I2" s="524"/>
      <c r="J2" s="524"/>
      <c r="K2" s="525"/>
      <c r="L2" s="526"/>
    </row>
    <row r="3" spans="1:14" s="76" customFormat="1" ht="21.75" customHeight="1" x14ac:dyDescent="0.2">
      <c r="A3" s="444" t="s">
        <v>61</v>
      </c>
      <c r="B3" s="486"/>
      <c r="C3" s="486" t="s">
        <v>287</v>
      </c>
      <c r="D3" s="445" t="s">
        <v>63</v>
      </c>
      <c r="E3" s="445" t="s">
        <v>55</v>
      </c>
      <c r="F3" s="445" t="s">
        <v>178</v>
      </c>
      <c r="G3" s="445" t="s">
        <v>56</v>
      </c>
      <c r="H3" s="445" t="s">
        <v>57</v>
      </c>
      <c r="I3" s="445" t="s">
        <v>58</v>
      </c>
      <c r="J3" s="445" t="s">
        <v>59</v>
      </c>
      <c r="K3" s="445" t="s">
        <v>60</v>
      </c>
      <c r="L3" s="446" t="s">
        <v>64</v>
      </c>
      <c r="M3" s="502"/>
    </row>
    <row r="4" spans="1:14" ht="15" x14ac:dyDescent="0.25">
      <c r="A4" s="85">
        <v>2660</v>
      </c>
      <c r="B4" s="487" t="s">
        <v>378</v>
      </c>
      <c r="C4" s="498"/>
      <c r="D4" s="83">
        <v>89487372</v>
      </c>
      <c r="E4" s="83">
        <f>D4-G4-H4</f>
        <v>55547853.170000002</v>
      </c>
      <c r="F4" s="83"/>
      <c r="G4" s="83">
        <v>0</v>
      </c>
      <c r="H4" s="83">
        <f>40223417.4+45900-6329798.57</f>
        <v>33939518.829999998</v>
      </c>
      <c r="I4" s="83">
        <f t="shared" ref="I4:I15" si="0">J4+K4</f>
        <v>98300174.75</v>
      </c>
      <c r="J4" s="110">
        <f>'Execução Orçamentária'!F139+'Execução Orçamentária'!G139+'Execução Orçamentária'!H139+'Execução Orçamentária'!I140+'Execução Orçamentária'!I141+'Execução Orçamentária'!I143+'Execução Orçamentária'!J143+'Execução Orçamentária'!I146+'Execução Orçamentária'!I147+'Execução Orçamentária'!I152+'Execução Orçamentária'!I155+'Execução Orçamentária'!I156</f>
        <v>30122744.950000003</v>
      </c>
      <c r="K4" s="84">
        <f>'Execução Orçamentária'!J139+'Execução Orçamentária'!K139+'Execução Orçamentária'!L139+'Execução Orçamentária'!M139+'Execução Orçamentária'!N139+'Execução Orçamentária'!O139+'Execução Orçamentária'!P139+'Execução Orçamentária'!Q139-'Execução Orçamentária'!J143+'Execução Orçamentária'!I144+'Execução Orçamentária'!I145+'Execução Orçamentária'!I148+'Execução Orçamentária'!I149+'Execução Orçamentária'!I151+'Execução Orçamentária'!I153+'Execução Orçamentária'!I154</f>
        <v>68177429.799999997</v>
      </c>
      <c r="L4" s="87">
        <f>E4-I4</f>
        <v>-42752321.579999998</v>
      </c>
      <c r="M4" s="503">
        <f>L4-'Execução Orçamentária'!R157</f>
        <v>0</v>
      </c>
    </row>
    <row r="5" spans="1:14" ht="15" x14ac:dyDescent="0.25">
      <c r="A5" s="85">
        <v>2010</v>
      </c>
      <c r="B5" s="487" t="s">
        <v>379</v>
      </c>
      <c r="C5" s="498"/>
      <c r="D5" s="83">
        <v>217269</v>
      </c>
      <c r="E5" s="83">
        <f>D5-G5-H5</f>
        <v>203274.73</v>
      </c>
      <c r="F5" s="83"/>
      <c r="G5" s="83">
        <v>13994.27</v>
      </c>
      <c r="H5" s="83">
        <v>0</v>
      </c>
      <c r="I5" s="83">
        <f>J5+K5</f>
        <v>249465.5</v>
      </c>
      <c r="J5" s="83">
        <f>'Execução Orçamentária'!F135+'Execução Orçamentária'!G135+'Execução Orçamentária'!H135+'Execução Orçamentária'!I135+'Execução Orçamentária'!J135</f>
        <v>109465.5</v>
      </c>
      <c r="K5" s="84">
        <f>'Execução Orçamentária'!K135+'Execução Orçamentária'!L135+'Execução Orçamentária'!M135+'Execução Orçamentária'!N135+'Execução Orçamentária'!O135+'Execução Orçamentária'!P135+'Execução Orçamentária'!Q135</f>
        <v>140000</v>
      </c>
      <c r="L5" s="87">
        <f>E5-I5</f>
        <v>-46190.76999999999</v>
      </c>
      <c r="M5" s="504">
        <f>L5-'Execução Orçamentária'!R137</f>
        <v>0</v>
      </c>
    </row>
    <row r="6" spans="1:14" ht="15" x14ac:dyDescent="0.25">
      <c r="A6" s="530">
        <v>2016</v>
      </c>
      <c r="B6" s="487" t="s">
        <v>380</v>
      </c>
      <c r="C6" s="498">
        <v>3390</v>
      </c>
      <c r="D6" s="532">
        <v>63964293</v>
      </c>
      <c r="E6" s="83">
        <f>17809526.63+35.08+39.1</f>
        <v>17809600.809999999</v>
      </c>
      <c r="F6" s="83"/>
      <c r="G6" s="83">
        <v>20567792.370000001</v>
      </c>
      <c r="H6" s="83">
        <v>0</v>
      </c>
      <c r="I6" s="83">
        <f>J6+K6</f>
        <v>0</v>
      </c>
      <c r="J6" s="110"/>
      <c r="K6" s="84"/>
      <c r="L6" s="87">
        <f>E6+F6-I6</f>
        <v>17809600.809999999</v>
      </c>
      <c r="M6" s="504">
        <f>L6-'Execução Orçamentária'!R84</f>
        <v>19095385.475000001</v>
      </c>
      <c r="N6" s="82"/>
    </row>
    <row r="7" spans="1:14" ht="15" x14ac:dyDescent="0.25">
      <c r="A7" s="531"/>
      <c r="B7" s="487"/>
      <c r="C7" s="498">
        <v>3391</v>
      </c>
      <c r="D7" s="533"/>
      <c r="E7" s="427">
        <f>138118-93087.57</f>
        <v>45030.429999999993</v>
      </c>
      <c r="F7" s="427"/>
      <c r="G7" s="427">
        <v>690923</v>
      </c>
      <c r="H7" s="83">
        <v>0</v>
      </c>
      <c r="I7" s="83">
        <f t="shared" ref="I7:I8" si="1">J7+K7</f>
        <v>43898.5</v>
      </c>
      <c r="J7" s="428">
        <f>'Execução Orçamentária'!F86</f>
        <v>43898.5</v>
      </c>
      <c r="K7" s="429">
        <v>0</v>
      </c>
      <c r="L7" s="87">
        <f t="shared" ref="L7:L8" si="2">E7+F7-I7</f>
        <v>1131.929999999993</v>
      </c>
      <c r="M7" s="504">
        <f>L7-'Execução Orçamentária'!R91</f>
        <v>0</v>
      </c>
      <c r="N7" s="82"/>
    </row>
    <row r="8" spans="1:14" ht="15" x14ac:dyDescent="0.25">
      <c r="A8" s="531"/>
      <c r="B8" s="487"/>
      <c r="C8" s="498">
        <v>4490</v>
      </c>
      <c r="D8" s="534"/>
      <c r="E8" s="427">
        <f>5231309.87-5000000</f>
        <v>231309.87000000011</v>
      </c>
      <c r="F8" s="427"/>
      <c r="G8" s="427">
        <f>19526623.13-7358780.22</f>
        <v>12167842.91</v>
      </c>
      <c r="H8" s="83">
        <v>7358780.2199999997</v>
      </c>
      <c r="I8" s="83">
        <f t="shared" si="1"/>
        <v>7005000</v>
      </c>
      <c r="J8" s="428">
        <f>'Execução Orçamentária'!G95+'Execução Orçamentária'!I95</f>
        <v>5000</v>
      </c>
      <c r="K8" s="429">
        <f>'Execução Orçamentária'!N94</f>
        <v>7000000</v>
      </c>
      <c r="L8" s="87">
        <f t="shared" si="2"/>
        <v>-6773690.1299999999</v>
      </c>
      <c r="M8" s="504">
        <f>L8-'Execução Orçamentária'!R96</f>
        <v>0</v>
      </c>
      <c r="N8" s="82"/>
    </row>
    <row r="9" spans="1:14" ht="15" x14ac:dyDescent="0.25">
      <c r="A9" s="527">
        <v>4903</v>
      </c>
      <c r="B9" s="487"/>
      <c r="C9" s="498">
        <v>3390</v>
      </c>
      <c r="D9" s="427">
        <v>0</v>
      </c>
      <c r="E9" s="427">
        <v>4500000</v>
      </c>
      <c r="F9" s="427"/>
      <c r="G9" s="427">
        <v>0</v>
      </c>
      <c r="H9" s="427">
        <v>0</v>
      </c>
      <c r="I9" s="83">
        <f t="shared" ref="I9:I10" si="3">J9+K9</f>
        <v>4027065.0199999996</v>
      </c>
      <c r="J9" s="428">
        <f>'Execução Orçamentária'!F120+'Execução Orçamentária'!G120+'Execução Orçamentária'!H120+'Execução Orçamentária'!I120+'Execução Orçamentária'!J120-'Execução Orçamentária'!J122</f>
        <v>2872481.3499999996</v>
      </c>
      <c r="K9" s="429">
        <f>'Execução Orçamentária'!J122+'Execução Orçamentária'!K120+'Execução Orçamentária'!L120+'Execução Orçamentária'!M120+'Execução Orçamentária'!N120+'Execução Orçamentária'!O120+'Execução Orçamentária'!P120+'Execução Orçamentária'!Q120</f>
        <v>1154583.6700000002</v>
      </c>
      <c r="L9" s="87">
        <f t="shared" ref="L9" si="4">E9+F9-I9</f>
        <v>472934.98000000045</v>
      </c>
      <c r="M9" s="504">
        <f>L9-'Execução Orçamentária'!R127</f>
        <v>-9.3132257461547852E-10</v>
      </c>
      <c r="N9" s="82"/>
    </row>
    <row r="10" spans="1:14" ht="15" x14ac:dyDescent="0.25">
      <c r="A10" s="528"/>
      <c r="B10" s="487"/>
      <c r="C10" s="498">
        <v>3391</v>
      </c>
      <c r="D10" s="427">
        <v>0</v>
      </c>
      <c r="E10" s="427">
        <v>593087.56999999995</v>
      </c>
      <c r="F10" s="427"/>
      <c r="G10" s="427">
        <v>0</v>
      </c>
      <c r="H10" s="427">
        <v>0</v>
      </c>
      <c r="I10" s="83">
        <f t="shared" si="3"/>
        <v>12088185.139999999</v>
      </c>
      <c r="J10" s="428">
        <f>'Execução Orçamentária'!G98+'Execução Orçamentária'!H98+'Execução Orçamentária'!I98+'Execução Orçamentária'!J98-'Execução Orçamentária'!J101</f>
        <v>158127.89000000001</v>
      </c>
      <c r="K10" s="429">
        <f>'Execução Orçamentária'!J101+'Execução Orçamentária'!K98+'Execução Orçamentária'!L98+'Execução Orçamentária'!M98+'Execução Orçamentária'!N98+'Execução Orçamentária'!O98+'Execução Orçamentária'!P98+'Execução Orçamentária'!Q98</f>
        <v>11930057.249999998</v>
      </c>
      <c r="L10" s="87">
        <f>E10+F10-I10</f>
        <v>-11495097.569999998</v>
      </c>
      <c r="M10" s="504">
        <f>L10-'Execução Orçamentária'!R118</f>
        <v>0</v>
      </c>
      <c r="N10" s="82"/>
    </row>
    <row r="11" spans="1:14" ht="15" x14ac:dyDescent="0.25">
      <c r="A11" s="529"/>
      <c r="B11" s="488"/>
      <c r="C11" s="499">
        <v>4490</v>
      </c>
      <c r="D11" s="427">
        <v>10000</v>
      </c>
      <c r="E11" s="427">
        <v>4900</v>
      </c>
      <c r="F11" s="427"/>
      <c r="G11" s="427">
        <v>1267</v>
      </c>
      <c r="H11" s="427">
        <v>3000</v>
      </c>
      <c r="I11" s="83">
        <f>J11+K11</f>
        <v>3786833</v>
      </c>
      <c r="J11" s="428">
        <f>'Execução Orçamentária'!F130</f>
        <v>833</v>
      </c>
      <c r="K11" s="429">
        <f>'Execução Orçamentária'!K131</f>
        <v>3786000</v>
      </c>
      <c r="L11" s="87">
        <f>E11+F11-I11</f>
        <v>-3781933</v>
      </c>
      <c r="M11" s="504">
        <f>L11-'Execução Orçamentária'!R132</f>
        <v>-833</v>
      </c>
      <c r="N11" s="82"/>
    </row>
    <row r="12" spans="1:14" s="94" customFormat="1" ht="15" x14ac:dyDescent="0.25">
      <c r="A12" s="109">
        <v>1835</v>
      </c>
      <c r="B12" s="489"/>
      <c r="C12" s="500"/>
      <c r="D12" s="110">
        <f>115299+5000+47110+337600</f>
        <v>505009</v>
      </c>
      <c r="E12" s="110">
        <f>D12-G12-H12</f>
        <v>24653.510000000009</v>
      </c>
      <c r="F12" s="110"/>
      <c r="G12" s="110">
        <v>328852.78999999998</v>
      </c>
      <c r="H12" s="110">
        <v>151502.70000000001</v>
      </c>
      <c r="I12" s="110">
        <f t="shared" si="0"/>
        <v>0</v>
      </c>
      <c r="J12" s="110">
        <v>0</v>
      </c>
      <c r="K12" s="111">
        <v>0</v>
      </c>
      <c r="L12" s="88">
        <f>E12-I12</f>
        <v>24653.510000000009</v>
      </c>
      <c r="M12" s="504">
        <f>L12-'Execução Orçamentária'!R14</f>
        <v>0</v>
      </c>
    </row>
    <row r="13" spans="1:14" ht="15" x14ac:dyDescent="0.25">
      <c r="A13" s="85">
        <v>1836</v>
      </c>
      <c r="B13" s="487" t="s">
        <v>381</v>
      </c>
      <c r="C13" s="498"/>
      <c r="D13" s="83">
        <v>1710502</v>
      </c>
      <c r="E13" s="83">
        <f>D13-G13-H13</f>
        <v>0</v>
      </c>
      <c r="F13" s="83"/>
      <c r="G13" s="83">
        <v>1197351.3999999999</v>
      </c>
      <c r="H13" s="83">
        <v>513150.6</v>
      </c>
      <c r="I13" s="83">
        <f t="shared" si="0"/>
        <v>0</v>
      </c>
      <c r="J13" s="83">
        <v>0</v>
      </c>
      <c r="K13" s="84">
        <v>0</v>
      </c>
      <c r="L13" s="88">
        <f>E13-I13</f>
        <v>0</v>
      </c>
      <c r="M13" s="504">
        <f>L13-'Execução Orçamentária'!R19</f>
        <v>0</v>
      </c>
    </row>
    <row r="14" spans="1:14" ht="15" x14ac:dyDescent="0.25">
      <c r="A14" s="85">
        <v>8021</v>
      </c>
      <c r="B14" s="487" t="s">
        <v>382</v>
      </c>
      <c r="C14" s="498"/>
      <c r="D14" s="83">
        <v>3073581</v>
      </c>
      <c r="E14" s="83">
        <f>D14-G14-H14</f>
        <v>2329208.1800000002</v>
      </c>
      <c r="F14" s="83"/>
      <c r="G14" s="83">
        <v>744372.82</v>
      </c>
      <c r="H14" s="83">
        <v>0</v>
      </c>
      <c r="I14" s="83">
        <f t="shared" si="0"/>
        <v>2836385.62</v>
      </c>
      <c r="J14" s="83">
        <f>'Execução Orçamentária'!F25+'Execução Orçamentária'!G25+'Execução Orçamentária'!H25+'Execução Orçamentária'!I25+'Execução Orçamentária'!J25</f>
        <v>1092133.32</v>
      </c>
      <c r="K14" s="84">
        <f>'Execução Orçamentária'!K25+'Execução Orçamentária'!L25+'Execução Orçamentária'!M25+'Execução Orçamentária'!N25+'Execução Orçamentária'!O25+'Execução Orçamentária'!P25+'Execução Orçamentária'!Q25</f>
        <v>1744252.2999999998</v>
      </c>
      <c r="L14" s="87">
        <f>E14-I14</f>
        <v>-507177.43999999994</v>
      </c>
      <c r="M14" s="504">
        <f>L14-'Execução Orçamentária'!R32</f>
        <v>-4.6566128730773926E-10</v>
      </c>
    </row>
    <row r="15" spans="1:14" ht="15" x14ac:dyDescent="0.25">
      <c r="A15" s="86" t="s">
        <v>62</v>
      </c>
      <c r="B15" s="491" t="s">
        <v>383</v>
      </c>
      <c r="C15" s="501"/>
      <c r="D15" s="83">
        <v>10351</v>
      </c>
      <c r="E15" s="83">
        <f>D15-G15-H15</f>
        <v>0</v>
      </c>
      <c r="F15" s="83"/>
      <c r="G15" s="83">
        <v>10351</v>
      </c>
      <c r="H15" s="83">
        <v>0</v>
      </c>
      <c r="I15" s="83">
        <f t="shared" si="0"/>
        <v>0</v>
      </c>
      <c r="J15" s="83">
        <v>0</v>
      </c>
      <c r="K15" s="84">
        <v>0</v>
      </c>
      <c r="L15" s="87">
        <f>E15-I15</f>
        <v>0</v>
      </c>
      <c r="M15" s="504">
        <f>L15-'Execução Orçamentária'!R24</f>
        <v>0</v>
      </c>
    </row>
    <row r="16" spans="1:14" ht="15" thickBot="1" x14ac:dyDescent="0.25">
      <c r="A16" s="447" t="s">
        <v>21</v>
      </c>
      <c r="B16" s="490"/>
      <c r="C16" s="490"/>
      <c r="D16" s="448">
        <f t="shared" ref="D16:L16" si="5">SUM(D4:D15)</f>
        <v>158978377</v>
      </c>
      <c r="E16" s="448">
        <f t="shared" si="5"/>
        <v>81288918.270000011</v>
      </c>
      <c r="F16" s="448">
        <f t="shared" si="5"/>
        <v>0</v>
      </c>
      <c r="G16" s="448">
        <f t="shared" si="5"/>
        <v>35722747.560000002</v>
      </c>
      <c r="H16" s="448">
        <f t="shared" si="5"/>
        <v>41965952.350000001</v>
      </c>
      <c r="I16" s="448">
        <f t="shared" si="5"/>
        <v>128337007.53</v>
      </c>
      <c r="J16" s="448">
        <f t="shared" si="5"/>
        <v>34404684.510000005</v>
      </c>
      <c r="K16" s="448">
        <f t="shared" si="5"/>
        <v>93932323.019999996</v>
      </c>
      <c r="L16" s="449">
        <f t="shared" si="5"/>
        <v>-47048089.259999998</v>
      </c>
      <c r="M16" s="505"/>
    </row>
    <row r="17" spans="4:13" x14ac:dyDescent="0.2">
      <c r="D17" s="54"/>
      <c r="E17" s="54"/>
      <c r="F17" s="54"/>
      <c r="G17" s="54"/>
      <c r="H17" s="54"/>
      <c r="J17" s="54"/>
    </row>
    <row r="18" spans="4:13" x14ac:dyDescent="0.2">
      <c r="D18" s="43"/>
      <c r="E18" s="43"/>
      <c r="F18" s="43"/>
      <c r="G18" s="43"/>
      <c r="H18" s="43"/>
      <c r="I18" s="43"/>
      <c r="J18" s="58"/>
    </row>
    <row r="19" spans="4:13" x14ac:dyDescent="0.2">
      <c r="E19" s="43"/>
      <c r="J19" s="54"/>
    </row>
    <row r="20" spans="4:13" x14ac:dyDescent="0.2">
      <c r="E20" s="43"/>
      <c r="F20" s="193"/>
    </row>
    <row r="21" spans="4:13" x14ac:dyDescent="0.2">
      <c r="D21" s="43"/>
      <c r="E21" s="193"/>
      <c r="F21" s="43"/>
      <c r="J21" s="407"/>
      <c r="K21" s="408"/>
    </row>
    <row r="22" spans="4:13" x14ac:dyDescent="0.2">
      <c r="D22" s="43"/>
      <c r="E22" s="193"/>
      <c r="J22" s="409"/>
      <c r="K22" s="260"/>
      <c r="M22" s="54"/>
    </row>
    <row r="23" spans="4:13" x14ac:dyDescent="0.2">
      <c r="D23" s="54"/>
      <c r="E23" s="43"/>
      <c r="F23" s="98"/>
      <c r="J23" s="349"/>
      <c r="K23" s="349"/>
      <c r="M23" s="43"/>
    </row>
    <row r="24" spans="4:13" x14ac:dyDescent="0.2">
      <c r="E24" s="54"/>
      <c r="F24" s="107"/>
      <c r="J24" s="94"/>
      <c r="K24" s="94"/>
      <c r="M24" s="43"/>
    </row>
    <row r="25" spans="4:13" x14ac:dyDescent="0.2">
      <c r="E25" s="108"/>
      <c r="F25" s="43"/>
      <c r="J25" s="54"/>
      <c r="M25" s="93"/>
    </row>
    <row r="26" spans="4:13" x14ac:dyDescent="0.2">
      <c r="F26" s="54"/>
      <c r="J26" s="58"/>
      <c r="M26" s="54"/>
    </row>
    <row r="27" spans="4:13" x14ac:dyDescent="0.2">
      <c r="J27" s="43"/>
    </row>
    <row r="29" spans="4:13" x14ac:dyDescent="0.2">
      <c r="D29" s="54"/>
      <c r="M29" s="43"/>
    </row>
    <row r="30" spans="4:13" x14ac:dyDescent="0.2">
      <c r="M30" s="43"/>
    </row>
    <row r="31" spans="4:13" x14ac:dyDescent="0.2">
      <c r="M31" s="43"/>
    </row>
    <row r="35" spans="8:8" x14ac:dyDescent="0.2">
      <c r="H35" s="54"/>
    </row>
  </sheetData>
  <mergeCells count="4">
    <mergeCell ref="A2:L2"/>
    <mergeCell ref="A9:A11"/>
    <mergeCell ref="A6:A8"/>
    <mergeCell ref="D6:D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showGridLines="0" workbookViewId="0">
      <selection activeCell="P5" sqref="P5"/>
    </sheetView>
  </sheetViews>
  <sheetFormatPr defaultRowHeight="12.75" x14ac:dyDescent="0.2"/>
  <cols>
    <col min="1" max="1" width="10.7109375" customWidth="1"/>
    <col min="2" max="2" width="26" customWidth="1"/>
    <col min="3" max="3" width="16.85546875" bestFit="1" customWidth="1"/>
    <col min="4" max="4" width="15.28515625" customWidth="1"/>
    <col min="5" max="5" width="15.140625" customWidth="1"/>
    <col min="6" max="6" width="15.5703125" customWidth="1"/>
    <col min="7" max="7" width="14.5703125" bestFit="1" customWidth="1"/>
    <col min="8" max="8" width="15.7109375" bestFit="1" customWidth="1"/>
    <col min="9" max="9" width="15.85546875" customWidth="1"/>
    <col min="10" max="10" width="14.7109375" customWidth="1"/>
    <col min="11" max="11" width="16" customWidth="1"/>
    <col min="12" max="12" width="12.85546875" customWidth="1"/>
    <col min="13" max="13" width="16.85546875" customWidth="1"/>
    <col min="14" max="14" width="15.7109375" customWidth="1"/>
    <col min="15" max="15" width="15.7109375" bestFit="1" customWidth="1"/>
    <col min="16" max="16" width="13.7109375" customWidth="1"/>
    <col min="17" max="17" width="13.140625" customWidth="1"/>
  </cols>
  <sheetData>
    <row r="1" spans="1:17" ht="12.75" customHeight="1" x14ac:dyDescent="0.2">
      <c r="A1" s="547" t="s">
        <v>301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9"/>
    </row>
    <row r="2" spans="1:17" ht="13.5" customHeight="1" thickBot="1" x14ac:dyDescent="0.25">
      <c r="A2" s="550"/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2"/>
    </row>
    <row r="3" spans="1:17" s="96" customFormat="1" ht="19.5" customHeight="1" thickBot="1" x14ac:dyDescent="0.25">
      <c r="A3" s="515" t="s">
        <v>261</v>
      </c>
      <c r="B3" s="516" t="s">
        <v>243</v>
      </c>
      <c r="C3" s="517" t="s">
        <v>153</v>
      </c>
      <c r="D3" s="518" t="s">
        <v>154</v>
      </c>
      <c r="E3" s="518" t="s">
        <v>155</v>
      </c>
      <c r="F3" s="518" t="s">
        <v>156</v>
      </c>
      <c r="G3" s="518" t="s">
        <v>157</v>
      </c>
      <c r="H3" s="518" t="s">
        <v>158</v>
      </c>
      <c r="I3" s="518" t="s">
        <v>159</v>
      </c>
      <c r="J3" s="518" t="s">
        <v>160</v>
      </c>
      <c r="K3" s="518" t="s">
        <v>161</v>
      </c>
      <c r="L3" s="518" t="s">
        <v>162</v>
      </c>
      <c r="M3" s="518" t="s">
        <v>163</v>
      </c>
      <c r="N3" s="519" t="s">
        <v>164</v>
      </c>
      <c r="O3" s="519" t="s">
        <v>20</v>
      </c>
    </row>
    <row r="4" spans="1:17" ht="23.25" customHeight="1" x14ac:dyDescent="0.2">
      <c r="A4" s="553">
        <v>1</v>
      </c>
      <c r="B4" s="188">
        <v>1</v>
      </c>
      <c r="C4" s="167">
        <v>22461057</v>
      </c>
      <c r="D4" s="168">
        <v>0</v>
      </c>
      <c r="E4" s="168">
        <v>0</v>
      </c>
      <c r="F4" s="220">
        <f>200000+15095982.76</f>
        <v>15295982.76</v>
      </c>
      <c r="G4" s="514">
        <v>6329798.5700000003</v>
      </c>
      <c r="H4" s="220"/>
      <c r="I4" s="514"/>
      <c r="J4" s="168"/>
      <c r="K4" s="168"/>
      <c r="L4" s="168"/>
      <c r="M4" s="168"/>
      <c r="N4" s="169"/>
      <c r="O4" s="169">
        <f t="shared" ref="O4:O9" si="0">SUM(C4:N4)</f>
        <v>44086838.329999998</v>
      </c>
      <c r="P4" s="193"/>
    </row>
    <row r="5" spans="1:17" ht="23.25" customHeight="1" thickBot="1" x14ac:dyDescent="0.25">
      <c r="A5" s="546"/>
      <c r="B5" s="188">
        <v>3</v>
      </c>
      <c r="C5" s="167">
        <v>16992</v>
      </c>
      <c r="D5" s="167">
        <v>0</v>
      </c>
      <c r="E5" s="168">
        <v>20000</v>
      </c>
      <c r="F5" s="294">
        <v>0</v>
      </c>
      <c r="G5" s="294"/>
      <c r="H5" s="294"/>
      <c r="I5" s="167"/>
      <c r="J5" s="168"/>
      <c r="K5" s="168"/>
      <c r="L5" s="168"/>
      <c r="M5" s="168"/>
      <c r="N5" s="169"/>
      <c r="O5" s="209">
        <f t="shared" si="0"/>
        <v>36992</v>
      </c>
    </row>
    <row r="6" spans="1:17" ht="23.25" customHeight="1" thickBot="1" x14ac:dyDescent="0.25">
      <c r="A6" s="189">
        <v>2</v>
      </c>
      <c r="B6" s="188">
        <v>3</v>
      </c>
      <c r="C6" s="167">
        <v>1722</v>
      </c>
      <c r="D6" s="167">
        <v>0</v>
      </c>
      <c r="E6" s="168">
        <v>0</v>
      </c>
      <c r="F6" s="168">
        <v>0</v>
      </c>
      <c r="G6" s="168"/>
      <c r="H6" s="168"/>
      <c r="I6" s="168"/>
      <c r="J6" s="168"/>
      <c r="K6" s="168"/>
      <c r="L6" s="168"/>
      <c r="M6" s="168"/>
      <c r="N6" s="169"/>
      <c r="O6" s="210">
        <f t="shared" si="0"/>
        <v>1722</v>
      </c>
    </row>
    <row r="7" spans="1:17" ht="21" customHeight="1" x14ac:dyDescent="0.2">
      <c r="A7" s="545">
        <v>3</v>
      </c>
      <c r="B7" s="191">
        <v>3</v>
      </c>
      <c r="C7" s="170">
        <f>12308518.93+35.08+5000000</f>
        <v>17308554.009999998</v>
      </c>
      <c r="D7" s="167">
        <v>0</v>
      </c>
      <c r="E7" s="171">
        <v>0</v>
      </c>
      <c r="F7" s="456">
        <v>11434854.92</v>
      </c>
      <c r="G7" s="456"/>
      <c r="H7" s="455"/>
      <c r="I7" s="171"/>
      <c r="J7" s="171"/>
      <c r="K7" s="171"/>
      <c r="L7" s="171"/>
      <c r="M7" s="171"/>
      <c r="N7" s="172"/>
      <c r="O7" s="169">
        <f t="shared" si="0"/>
        <v>28743408.93</v>
      </c>
      <c r="P7" s="43"/>
      <c r="Q7" s="43"/>
    </row>
    <row r="8" spans="1:17" ht="21" customHeight="1" thickBot="1" x14ac:dyDescent="0.25">
      <c r="A8" s="546"/>
      <c r="B8" s="196">
        <v>4</v>
      </c>
      <c r="C8" s="173">
        <v>4126336</v>
      </c>
      <c r="D8" s="167">
        <v>0</v>
      </c>
      <c r="E8" s="174">
        <v>0</v>
      </c>
      <c r="F8" s="294">
        <v>0</v>
      </c>
      <c r="G8" s="294"/>
      <c r="H8" s="294"/>
      <c r="I8" s="174"/>
      <c r="J8" s="174"/>
      <c r="K8" s="174"/>
      <c r="L8" s="174"/>
      <c r="M8" s="174"/>
      <c r="N8" s="175"/>
      <c r="O8" s="209">
        <f t="shared" si="0"/>
        <v>4126336</v>
      </c>
      <c r="Q8" s="43"/>
    </row>
    <row r="9" spans="1:17" ht="21" customHeight="1" x14ac:dyDescent="0.25">
      <c r="A9" s="190">
        <v>6</v>
      </c>
      <c r="B9" s="187">
        <v>3</v>
      </c>
      <c r="C9" s="173">
        <v>768395.25</v>
      </c>
      <c r="D9" s="167">
        <v>0</v>
      </c>
      <c r="E9" s="174">
        <v>0</v>
      </c>
      <c r="F9" s="457">
        <v>768395.25</v>
      </c>
      <c r="G9" s="456"/>
      <c r="H9" s="456"/>
      <c r="I9" s="174"/>
      <c r="J9" s="174"/>
      <c r="K9" s="174"/>
      <c r="L9" s="174"/>
      <c r="M9" s="174"/>
      <c r="N9" s="175"/>
      <c r="O9" s="169">
        <f t="shared" si="0"/>
        <v>1536790.5</v>
      </c>
    </row>
    <row r="10" spans="1:17" ht="25.5" customHeight="1" thickBot="1" x14ac:dyDescent="0.25">
      <c r="A10" s="543"/>
      <c r="B10" s="544"/>
      <c r="C10" s="176">
        <f t="shared" ref="C10:O10" si="1">SUM(C4:C9)</f>
        <v>44683056.259999998</v>
      </c>
      <c r="D10" s="176">
        <f t="shared" si="1"/>
        <v>0</v>
      </c>
      <c r="E10" s="176">
        <f t="shared" si="1"/>
        <v>20000</v>
      </c>
      <c r="F10" s="176">
        <f t="shared" si="1"/>
        <v>27499232.93</v>
      </c>
      <c r="G10" s="176">
        <f t="shared" si="1"/>
        <v>6329798.5700000003</v>
      </c>
      <c r="H10" s="176">
        <f t="shared" si="1"/>
        <v>0</v>
      </c>
      <c r="I10" s="176">
        <f t="shared" si="1"/>
        <v>0</v>
      </c>
      <c r="J10" s="176">
        <f t="shared" si="1"/>
        <v>0</v>
      </c>
      <c r="K10" s="176">
        <f>SUM(K4:K9)</f>
        <v>0</v>
      </c>
      <c r="L10" s="176">
        <f t="shared" si="1"/>
        <v>0</v>
      </c>
      <c r="M10" s="176">
        <f t="shared" si="1"/>
        <v>0</v>
      </c>
      <c r="N10" s="183">
        <f t="shared" si="1"/>
        <v>0</v>
      </c>
      <c r="O10" s="183">
        <f t="shared" si="1"/>
        <v>78532087.75999999</v>
      </c>
    </row>
    <row r="15" spans="1:17" x14ac:dyDescent="0.2">
      <c r="D15" s="43"/>
    </row>
    <row r="17" spans="1:10" x14ac:dyDescent="0.2">
      <c r="A17" s="192" t="s">
        <v>262</v>
      </c>
      <c r="J17" s="54"/>
    </row>
    <row r="18" spans="1:10" x14ac:dyDescent="0.2">
      <c r="A18" s="82" t="s">
        <v>244</v>
      </c>
      <c r="J18" s="54"/>
    </row>
    <row r="19" spans="1:10" x14ac:dyDescent="0.2">
      <c r="A19" s="82" t="s">
        <v>247</v>
      </c>
    </row>
    <row r="20" spans="1:10" x14ac:dyDescent="0.2">
      <c r="A20" s="82" t="s">
        <v>245</v>
      </c>
    </row>
    <row r="21" spans="1:10" x14ac:dyDescent="0.2">
      <c r="A21" s="82" t="s">
        <v>246</v>
      </c>
    </row>
    <row r="25" spans="1:10" ht="13.5" thickBot="1" x14ac:dyDescent="0.25"/>
    <row r="26" spans="1:10" ht="15.75" customHeight="1" x14ac:dyDescent="0.2">
      <c r="A26" s="537" t="s">
        <v>258</v>
      </c>
      <c r="B26" s="538"/>
      <c r="C26" s="538"/>
      <c r="D26" s="539"/>
    </row>
    <row r="27" spans="1:10" ht="13.5" thickBot="1" x14ac:dyDescent="0.25">
      <c r="A27" s="540"/>
      <c r="B27" s="541"/>
      <c r="C27" s="541"/>
      <c r="D27" s="542"/>
    </row>
    <row r="28" spans="1:10" ht="16.5" thickBot="1" x14ac:dyDescent="0.25">
      <c r="A28" s="199" t="s">
        <v>248</v>
      </c>
      <c r="B28" s="198" t="s">
        <v>253</v>
      </c>
      <c r="C28" s="200" t="s">
        <v>259</v>
      </c>
      <c r="D28" s="201" t="s">
        <v>260</v>
      </c>
      <c r="E28" s="39"/>
      <c r="G28" s="194"/>
    </row>
    <row r="29" spans="1:10" ht="15.75" x14ac:dyDescent="0.2">
      <c r="A29" s="202" t="s">
        <v>249</v>
      </c>
      <c r="B29" s="203" t="s">
        <v>257</v>
      </c>
      <c r="C29" s="167"/>
      <c r="D29" s="169"/>
      <c r="E29" s="208"/>
      <c r="F29" s="207"/>
      <c r="G29" s="195"/>
    </row>
    <row r="30" spans="1:10" ht="31.5" x14ac:dyDescent="0.2">
      <c r="A30" s="204" t="s">
        <v>250</v>
      </c>
      <c r="B30" s="205" t="s">
        <v>256</v>
      </c>
      <c r="C30" s="167"/>
      <c r="D30" s="197"/>
      <c r="E30" s="208"/>
      <c r="G30" s="193"/>
    </row>
    <row r="31" spans="1:10" ht="31.5" x14ac:dyDescent="0.2">
      <c r="A31" s="204" t="s">
        <v>251</v>
      </c>
      <c r="B31" s="205" t="s">
        <v>254</v>
      </c>
      <c r="C31" s="167"/>
      <c r="D31" s="197"/>
      <c r="E31" s="43"/>
    </row>
    <row r="32" spans="1:10" ht="15.75" x14ac:dyDescent="0.2">
      <c r="A32" s="204" t="s">
        <v>252</v>
      </c>
      <c r="B32" s="206" t="s">
        <v>255</v>
      </c>
      <c r="C32" s="170"/>
      <c r="D32" s="172"/>
      <c r="E32" s="43"/>
    </row>
    <row r="33" spans="1:5" ht="16.5" thickBot="1" x14ac:dyDescent="0.3">
      <c r="A33" s="535" t="s">
        <v>21</v>
      </c>
      <c r="B33" s="536"/>
      <c r="C33" s="176">
        <f>SUM(C29:C32)</f>
        <v>0</v>
      </c>
      <c r="D33" s="183">
        <f>SUM(D29:D32)</f>
        <v>0</v>
      </c>
      <c r="E33" s="58"/>
    </row>
    <row r="34" spans="1:5" x14ac:dyDescent="0.2">
      <c r="C34" s="54"/>
      <c r="D34" s="54"/>
    </row>
    <row r="35" spans="1:5" x14ac:dyDescent="0.2">
      <c r="C35" s="43"/>
      <c r="D35" s="43"/>
    </row>
  </sheetData>
  <mergeCells count="6">
    <mergeCell ref="A33:B33"/>
    <mergeCell ref="A26:D27"/>
    <mergeCell ref="A10:B10"/>
    <mergeCell ref="A7:A8"/>
    <mergeCell ref="A1:O2"/>
    <mergeCell ref="A4:A5"/>
  </mergeCells>
  <phoneticPr fontId="27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"/>
  <sheetViews>
    <sheetView showGridLines="0" zoomScale="90" zoomScaleNormal="90" workbookViewId="0">
      <pane ySplit="3" topLeftCell="A43" activePane="bottomLeft" state="frozen"/>
      <selection pane="bottomLeft" activeCell="I42" sqref="I42"/>
    </sheetView>
  </sheetViews>
  <sheetFormatPr defaultRowHeight="15.75" x14ac:dyDescent="0.25"/>
  <cols>
    <col min="1" max="1" width="24.85546875" style="230" bestFit="1" customWidth="1"/>
    <col min="2" max="13" width="15.28515625" style="324" customWidth="1"/>
    <col min="14" max="14" width="15.85546875" style="324" bestFit="1" customWidth="1"/>
    <col min="15" max="16384" width="9.140625" style="230"/>
  </cols>
  <sheetData>
    <row r="1" spans="1:14" ht="24" customHeight="1" thickBot="1" x14ac:dyDescent="0.3">
      <c r="A1" s="556" t="s">
        <v>302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8"/>
    </row>
    <row r="2" spans="1:14" ht="31.5" x14ac:dyDescent="0.25">
      <c r="A2" s="554" t="s">
        <v>22</v>
      </c>
      <c r="B2" s="333" t="s">
        <v>3</v>
      </c>
      <c r="C2" s="336" t="s">
        <v>4</v>
      </c>
      <c r="D2" s="334" t="s">
        <v>5</v>
      </c>
      <c r="E2" s="334" t="s">
        <v>6</v>
      </c>
      <c r="F2" s="334" t="s">
        <v>7</v>
      </c>
      <c r="G2" s="334" t="s">
        <v>8</v>
      </c>
      <c r="H2" s="334" t="s">
        <v>9</v>
      </c>
      <c r="I2" s="334" t="s">
        <v>10</v>
      </c>
      <c r="J2" s="334" t="s">
        <v>11</v>
      </c>
      <c r="K2" s="334" t="s">
        <v>12</v>
      </c>
      <c r="L2" s="334" t="s">
        <v>13</v>
      </c>
      <c r="M2" s="334" t="s">
        <v>14</v>
      </c>
      <c r="N2" s="335" t="s">
        <v>15</v>
      </c>
    </row>
    <row r="3" spans="1:14" ht="16.5" thickBot="1" x14ac:dyDescent="0.3">
      <c r="A3" s="555"/>
      <c r="B3" s="326">
        <f t="shared" ref="B3:M3" si="0">SUM(B$4:B$1048576)</f>
        <v>0</v>
      </c>
      <c r="C3" s="326">
        <f t="shared" si="0"/>
        <v>10637.7</v>
      </c>
      <c r="D3" s="326">
        <f t="shared" si="0"/>
        <v>6770.4</v>
      </c>
      <c r="E3" s="326">
        <f t="shared" si="0"/>
        <v>2393.4</v>
      </c>
      <c r="F3" s="326">
        <f t="shared" si="0"/>
        <v>16072.79</v>
      </c>
      <c r="G3" s="326">
        <f t="shared" si="0"/>
        <v>0</v>
      </c>
      <c r="H3" s="326">
        <f t="shared" si="0"/>
        <v>0</v>
      </c>
      <c r="I3" s="326">
        <f t="shared" si="0"/>
        <v>0</v>
      </c>
      <c r="J3" s="326">
        <f t="shared" si="0"/>
        <v>0</v>
      </c>
      <c r="K3" s="326">
        <f t="shared" si="0"/>
        <v>0</v>
      </c>
      <c r="L3" s="326">
        <f t="shared" si="0"/>
        <v>0</v>
      </c>
      <c r="M3" s="326">
        <f t="shared" si="0"/>
        <v>0</v>
      </c>
      <c r="N3" s="327">
        <f>SUM(B3:M3)</f>
        <v>35874.29</v>
      </c>
    </row>
    <row r="4" spans="1:14" x14ac:dyDescent="0.25">
      <c r="A4" s="244" t="s">
        <v>349</v>
      </c>
      <c r="B4" s="325"/>
      <c r="C4" s="325">
        <v>325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1:14" x14ac:dyDescent="0.25">
      <c r="A5" s="244" t="s">
        <v>350</v>
      </c>
      <c r="B5" s="312"/>
      <c r="C5" s="312">
        <v>1774</v>
      </c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</row>
    <row r="6" spans="1:14" x14ac:dyDescent="0.25">
      <c r="A6" s="244" t="s">
        <v>351</v>
      </c>
      <c r="B6" s="312"/>
      <c r="C6" s="312">
        <v>1774</v>
      </c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</row>
    <row r="7" spans="1:14" x14ac:dyDescent="0.25">
      <c r="A7" s="244" t="s">
        <v>352</v>
      </c>
      <c r="B7" s="312"/>
      <c r="C7" s="312">
        <v>1774</v>
      </c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</row>
    <row r="8" spans="1:14" x14ac:dyDescent="0.25">
      <c r="A8" s="244" t="s">
        <v>353</v>
      </c>
      <c r="B8" s="312"/>
      <c r="C8" s="312">
        <v>1774</v>
      </c>
      <c r="E8" s="312"/>
      <c r="F8" s="312"/>
      <c r="G8" s="312"/>
      <c r="H8" s="312"/>
      <c r="I8" s="312"/>
      <c r="J8" s="312"/>
      <c r="K8" s="312"/>
      <c r="L8" s="312"/>
      <c r="M8" s="312"/>
      <c r="N8" s="312"/>
    </row>
    <row r="9" spans="1:14" x14ac:dyDescent="0.25">
      <c r="A9" s="244" t="s">
        <v>354</v>
      </c>
      <c r="B9" s="312"/>
      <c r="C9" s="312">
        <v>1442.7</v>
      </c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</row>
    <row r="10" spans="1:14" x14ac:dyDescent="0.25">
      <c r="A10" s="239" t="s">
        <v>367</v>
      </c>
      <c r="B10" s="312"/>
      <c r="C10" s="312">
        <v>1774</v>
      </c>
      <c r="E10" s="312"/>
      <c r="F10" s="312"/>
      <c r="G10" s="312"/>
      <c r="H10" s="312"/>
      <c r="I10" s="312"/>
      <c r="J10" s="312"/>
      <c r="K10" s="312"/>
      <c r="L10" s="312"/>
      <c r="M10" s="312"/>
      <c r="N10" s="312"/>
    </row>
    <row r="11" spans="1:14" x14ac:dyDescent="0.25">
      <c r="A11" s="244" t="s">
        <v>372</v>
      </c>
      <c r="B11" s="312"/>
      <c r="C11" s="312"/>
      <c r="D11" s="312">
        <v>1774</v>
      </c>
      <c r="E11" s="312"/>
      <c r="F11" s="312"/>
      <c r="G11" s="312"/>
      <c r="H11" s="312"/>
      <c r="I11" s="312"/>
      <c r="J11" s="312"/>
      <c r="K11" s="312"/>
      <c r="L11" s="312"/>
      <c r="M11" s="312"/>
      <c r="N11" s="312"/>
    </row>
    <row r="12" spans="1:14" x14ac:dyDescent="0.25">
      <c r="A12" s="239" t="s">
        <v>373</v>
      </c>
      <c r="B12" s="312"/>
      <c r="C12" s="312"/>
      <c r="D12" s="312">
        <v>1067.4000000000001</v>
      </c>
      <c r="E12" s="312"/>
      <c r="F12" s="312"/>
      <c r="G12" s="312"/>
      <c r="H12" s="312"/>
      <c r="I12" s="312"/>
      <c r="J12" s="312"/>
      <c r="K12" s="312"/>
      <c r="L12" s="312"/>
      <c r="M12" s="312"/>
      <c r="N12" s="312"/>
    </row>
    <row r="13" spans="1:14" x14ac:dyDescent="0.25">
      <c r="A13" s="239" t="s">
        <v>385</v>
      </c>
      <c r="B13" s="312"/>
      <c r="C13" s="312"/>
      <c r="D13" s="312">
        <v>1611</v>
      </c>
      <c r="E13" s="312"/>
      <c r="F13" s="312"/>
      <c r="G13" s="312"/>
      <c r="H13" s="312"/>
      <c r="I13" s="312"/>
      <c r="J13" s="312"/>
      <c r="K13" s="312"/>
      <c r="L13" s="312"/>
      <c r="M13" s="312"/>
      <c r="N13" s="312"/>
    </row>
    <row r="14" spans="1:14" x14ac:dyDescent="0.25">
      <c r="A14" s="239" t="s">
        <v>386</v>
      </c>
      <c r="B14" s="312"/>
      <c r="C14" s="312"/>
      <c r="D14" s="312">
        <v>1159</v>
      </c>
      <c r="E14" s="312"/>
      <c r="F14" s="312"/>
      <c r="G14" s="312"/>
      <c r="H14" s="312"/>
      <c r="I14" s="312"/>
      <c r="J14" s="312"/>
      <c r="K14" s="312"/>
      <c r="L14" s="312"/>
      <c r="M14" s="312"/>
      <c r="N14" s="312"/>
    </row>
    <row r="15" spans="1:14" x14ac:dyDescent="0.25">
      <c r="A15" s="239" t="s">
        <v>387</v>
      </c>
      <c r="B15" s="312"/>
      <c r="C15" s="312"/>
      <c r="D15" s="312">
        <v>1159</v>
      </c>
      <c r="E15" s="312"/>
      <c r="F15" s="312"/>
      <c r="G15" s="312"/>
      <c r="H15" s="312"/>
      <c r="I15" s="312"/>
      <c r="J15" s="312"/>
      <c r="K15" s="312"/>
      <c r="L15" s="312"/>
      <c r="M15" s="312"/>
      <c r="N15" s="312"/>
    </row>
    <row r="16" spans="1:14" x14ac:dyDescent="0.25">
      <c r="A16" s="239" t="s">
        <v>409</v>
      </c>
      <c r="B16" s="312"/>
      <c r="C16" s="312"/>
      <c r="D16" s="312"/>
      <c r="E16" s="312">
        <v>52.8</v>
      </c>
      <c r="F16" s="312"/>
      <c r="G16" s="312"/>
      <c r="H16" s="312"/>
      <c r="I16" s="312"/>
      <c r="J16" s="312"/>
      <c r="K16" s="312"/>
      <c r="L16" s="312"/>
      <c r="M16" s="312"/>
      <c r="N16" s="312"/>
    </row>
    <row r="17" spans="1:14" x14ac:dyDescent="0.25">
      <c r="A17" s="239" t="s">
        <v>412</v>
      </c>
      <c r="B17" s="312"/>
      <c r="C17" s="312"/>
      <c r="D17" s="312"/>
      <c r="E17" s="312">
        <v>382.5</v>
      </c>
      <c r="F17" s="312"/>
      <c r="G17" s="312"/>
      <c r="H17" s="312"/>
      <c r="I17" s="312"/>
      <c r="J17" s="312"/>
      <c r="K17" s="312"/>
      <c r="L17" s="312"/>
      <c r="M17" s="312"/>
      <c r="N17" s="312"/>
    </row>
    <row r="18" spans="1:14" x14ac:dyDescent="0.25">
      <c r="A18" s="239" t="s">
        <v>415</v>
      </c>
      <c r="B18" s="312"/>
      <c r="C18" s="312"/>
      <c r="D18" s="312"/>
      <c r="E18" s="312">
        <v>692.1</v>
      </c>
      <c r="F18" s="312"/>
      <c r="G18" s="312"/>
      <c r="H18" s="312"/>
      <c r="I18" s="312"/>
      <c r="J18" s="312"/>
      <c r="K18" s="312"/>
      <c r="L18" s="312"/>
      <c r="M18" s="312"/>
      <c r="N18" s="312"/>
    </row>
    <row r="19" spans="1:14" x14ac:dyDescent="0.25">
      <c r="A19" s="239" t="s">
        <v>424</v>
      </c>
      <c r="B19" s="312"/>
      <c r="C19" s="312"/>
      <c r="D19" s="312"/>
      <c r="E19" s="312">
        <v>135</v>
      </c>
      <c r="F19" s="312"/>
      <c r="G19" s="312"/>
      <c r="H19" s="312"/>
      <c r="I19" s="312"/>
      <c r="J19" s="312"/>
      <c r="K19" s="312"/>
      <c r="L19" s="312"/>
      <c r="M19" s="312"/>
      <c r="N19" s="312"/>
    </row>
    <row r="20" spans="1:14" x14ac:dyDescent="0.25">
      <c r="A20" s="239" t="s">
        <v>425</v>
      </c>
      <c r="B20" s="312"/>
      <c r="C20" s="312"/>
      <c r="D20" s="312"/>
      <c r="E20" s="312">
        <v>295.5</v>
      </c>
      <c r="F20" s="312"/>
      <c r="G20" s="312"/>
      <c r="H20" s="312"/>
      <c r="I20" s="312"/>
      <c r="J20" s="312"/>
      <c r="K20" s="312"/>
      <c r="L20" s="312"/>
      <c r="M20" s="312"/>
      <c r="N20" s="312"/>
    </row>
    <row r="21" spans="1:14" x14ac:dyDescent="0.25">
      <c r="A21" s="239" t="s">
        <v>426</v>
      </c>
      <c r="B21" s="312"/>
      <c r="C21" s="312"/>
      <c r="D21" s="312"/>
      <c r="E21" s="312">
        <v>295.5</v>
      </c>
      <c r="F21" s="312"/>
      <c r="G21" s="312"/>
      <c r="H21" s="312"/>
      <c r="I21" s="312"/>
      <c r="J21" s="312"/>
      <c r="K21" s="312"/>
      <c r="L21" s="312"/>
      <c r="M21" s="312"/>
      <c r="N21" s="312"/>
    </row>
    <row r="22" spans="1:14" x14ac:dyDescent="0.25">
      <c r="A22" s="239" t="s">
        <v>427</v>
      </c>
      <c r="B22" s="312"/>
      <c r="C22" s="312"/>
      <c r="D22" s="312"/>
      <c r="E22" s="312">
        <v>270</v>
      </c>
      <c r="F22" s="312"/>
      <c r="G22" s="312"/>
      <c r="H22" s="312"/>
      <c r="I22" s="312"/>
      <c r="J22" s="312"/>
      <c r="K22" s="312"/>
      <c r="L22" s="312"/>
      <c r="M22" s="312"/>
      <c r="N22" s="312"/>
    </row>
    <row r="23" spans="1:14" x14ac:dyDescent="0.25">
      <c r="A23" s="239" t="s">
        <v>438</v>
      </c>
      <c r="B23" s="312"/>
      <c r="C23" s="312"/>
      <c r="D23" s="312"/>
      <c r="E23" s="312">
        <v>270</v>
      </c>
      <c r="F23" s="312"/>
      <c r="G23" s="312"/>
      <c r="H23" s="312"/>
      <c r="I23" s="312"/>
      <c r="J23" s="312"/>
      <c r="K23" s="312"/>
      <c r="L23" s="312"/>
      <c r="M23" s="312"/>
      <c r="N23" s="312"/>
    </row>
    <row r="24" spans="1:14" x14ac:dyDescent="0.25">
      <c r="A24" s="239" t="s">
        <v>446</v>
      </c>
      <c r="B24" s="312"/>
      <c r="C24" s="312"/>
      <c r="D24" s="312"/>
      <c r="E24" s="312"/>
      <c r="F24" s="312">
        <v>637</v>
      </c>
      <c r="G24" s="312"/>
      <c r="H24" s="312"/>
      <c r="I24" s="312"/>
      <c r="J24" s="312"/>
      <c r="K24" s="312"/>
      <c r="L24" s="312"/>
      <c r="M24" s="312"/>
      <c r="N24" s="312"/>
    </row>
    <row r="25" spans="1:14" x14ac:dyDescent="0.25">
      <c r="A25" s="239" t="s">
        <v>447</v>
      </c>
      <c r="B25" s="312"/>
      <c r="C25" s="312"/>
      <c r="D25" s="312"/>
      <c r="E25" s="312"/>
      <c r="F25" s="312">
        <v>637</v>
      </c>
      <c r="G25" s="312"/>
      <c r="H25" s="312"/>
      <c r="I25" s="312"/>
      <c r="J25" s="312"/>
      <c r="K25" s="312"/>
      <c r="L25" s="312"/>
      <c r="M25" s="312"/>
      <c r="N25" s="312"/>
    </row>
    <row r="26" spans="1:14" x14ac:dyDescent="0.25">
      <c r="A26" s="239" t="s">
        <v>457</v>
      </c>
      <c r="B26" s="312"/>
      <c r="C26" s="312"/>
      <c r="D26" s="312"/>
      <c r="E26" s="312"/>
      <c r="F26" s="312">
        <v>1730</v>
      </c>
      <c r="G26" s="312"/>
      <c r="H26" s="312"/>
      <c r="I26" s="312"/>
      <c r="J26" s="312"/>
      <c r="K26" s="312"/>
      <c r="L26" s="312"/>
      <c r="M26" s="312"/>
      <c r="N26" s="312"/>
    </row>
    <row r="27" spans="1:14" x14ac:dyDescent="0.25">
      <c r="A27" s="239" t="s">
        <v>458</v>
      </c>
      <c r="B27" s="312"/>
      <c r="C27" s="312"/>
      <c r="D27" s="312"/>
      <c r="E27" s="312"/>
      <c r="F27" s="312">
        <v>1748.1</v>
      </c>
      <c r="G27" s="312"/>
      <c r="H27" s="312"/>
      <c r="I27" s="312"/>
      <c r="J27" s="312"/>
      <c r="K27" s="312"/>
      <c r="L27" s="312"/>
      <c r="M27" s="312"/>
      <c r="N27" s="312"/>
    </row>
    <row r="28" spans="1:14" x14ac:dyDescent="0.25">
      <c r="A28" s="239" t="s">
        <v>459</v>
      </c>
      <c r="B28" s="312"/>
      <c r="C28" s="312"/>
      <c r="D28" s="312"/>
      <c r="E28" s="312"/>
      <c r="F28" s="312">
        <v>1491.3</v>
      </c>
      <c r="G28" s="312"/>
      <c r="H28" s="312"/>
      <c r="I28" s="312"/>
      <c r="J28" s="312"/>
      <c r="K28" s="312"/>
      <c r="L28" s="312"/>
      <c r="M28" s="312"/>
      <c r="N28" s="312"/>
    </row>
    <row r="29" spans="1:14" x14ac:dyDescent="0.25">
      <c r="A29" s="239" t="s">
        <v>460</v>
      </c>
      <c r="B29" s="312"/>
      <c r="C29" s="312"/>
      <c r="D29" s="312"/>
      <c r="E29" s="312"/>
      <c r="F29" s="312">
        <v>1748.1</v>
      </c>
      <c r="G29" s="312"/>
      <c r="H29" s="312"/>
      <c r="I29" s="312"/>
      <c r="J29" s="312"/>
      <c r="K29" s="312"/>
      <c r="L29" s="312"/>
      <c r="M29" s="312"/>
      <c r="N29" s="312"/>
    </row>
    <row r="30" spans="1:14" x14ac:dyDescent="0.25">
      <c r="A30" s="239" t="s">
        <v>461</v>
      </c>
      <c r="B30" s="312"/>
      <c r="C30" s="312"/>
      <c r="D30" s="312"/>
      <c r="E30" s="312"/>
      <c r="F30" s="312">
        <v>1730</v>
      </c>
      <c r="G30" s="312"/>
      <c r="H30" s="312"/>
      <c r="I30" s="312"/>
      <c r="J30" s="312"/>
      <c r="K30" s="312"/>
      <c r="L30" s="312"/>
      <c r="M30" s="312"/>
      <c r="N30" s="312"/>
    </row>
    <row r="31" spans="1:14" x14ac:dyDescent="0.25">
      <c r="A31" s="239" t="s">
        <v>462</v>
      </c>
      <c r="B31" s="312"/>
      <c r="C31" s="312"/>
      <c r="D31" s="312"/>
      <c r="E31" s="312"/>
      <c r="F31" s="312">
        <v>1142.2</v>
      </c>
      <c r="G31" s="312"/>
      <c r="H31" s="312"/>
      <c r="I31" s="312"/>
      <c r="J31" s="312"/>
      <c r="K31" s="312"/>
      <c r="L31" s="312"/>
      <c r="M31" s="312"/>
      <c r="N31" s="312"/>
    </row>
    <row r="32" spans="1:14" x14ac:dyDescent="0.25">
      <c r="A32" s="239" t="s">
        <v>463</v>
      </c>
      <c r="B32" s="312"/>
      <c r="C32" s="312"/>
      <c r="D32" s="312"/>
      <c r="E32" s="312"/>
      <c r="F32" s="312">
        <v>148</v>
      </c>
      <c r="G32" s="312"/>
      <c r="H32" s="312"/>
      <c r="I32" s="312"/>
      <c r="J32" s="312"/>
      <c r="K32" s="312"/>
      <c r="L32" s="312"/>
      <c r="M32" s="312"/>
      <c r="N32" s="312"/>
    </row>
    <row r="33" spans="1:14" x14ac:dyDescent="0.25">
      <c r="A33" s="239" t="s">
        <v>464</v>
      </c>
      <c r="B33" s="312"/>
      <c r="C33" s="312"/>
      <c r="D33" s="312"/>
      <c r="E33" s="312"/>
      <c r="F33" s="312">
        <v>637</v>
      </c>
      <c r="G33" s="312"/>
      <c r="H33" s="312"/>
      <c r="I33" s="312"/>
      <c r="J33" s="312"/>
      <c r="K33" s="312"/>
      <c r="L33" s="312"/>
      <c r="M33" s="312"/>
      <c r="N33" s="312"/>
    </row>
    <row r="34" spans="1:14" x14ac:dyDescent="0.25">
      <c r="A34" s="239" t="s">
        <v>465</v>
      </c>
      <c r="B34" s="312"/>
      <c r="C34" s="312"/>
      <c r="D34" s="312"/>
      <c r="E34" s="312"/>
      <c r="F34" s="312">
        <v>469.29</v>
      </c>
      <c r="G34" s="312"/>
      <c r="H34" s="312"/>
      <c r="I34" s="312"/>
      <c r="J34" s="312"/>
      <c r="K34" s="312"/>
      <c r="L34" s="312"/>
      <c r="M34" s="312"/>
      <c r="N34" s="312"/>
    </row>
    <row r="35" spans="1:14" x14ac:dyDescent="0.25">
      <c r="A35" s="239" t="s">
        <v>466</v>
      </c>
      <c r="B35" s="312"/>
      <c r="C35" s="312"/>
      <c r="D35" s="312"/>
      <c r="E35" s="312"/>
      <c r="F35" s="312">
        <v>295.5</v>
      </c>
      <c r="G35" s="312"/>
      <c r="H35" s="312"/>
      <c r="I35" s="312"/>
      <c r="J35" s="312"/>
      <c r="K35" s="312"/>
      <c r="L35" s="312"/>
      <c r="M35" s="312"/>
      <c r="N35" s="312"/>
    </row>
    <row r="36" spans="1:14" x14ac:dyDescent="0.25">
      <c r="A36" s="239" t="s">
        <v>467</v>
      </c>
      <c r="B36" s="312"/>
      <c r="C36" s="312"/>
      <c r="D36" s="312"/>
      <c r="E36" s="312"/>
      <c r="F36" s="312">
        <v>130</v>
      </c>
      <c r="G36" s="312"/>
      <c r="H36" s="312"/>
      <c r="I36" s="312"/>
      <c r="J36" s="312"/>
      <c r="K36" s="312"/>
      <c r="L36" s="312"/>
      <c r="M36" s="312"/>
      <c r="N36" s="312"/>
    </row>
    <row r="37" spans="1:14" x14ac:dyDescent="0.25">
      <c r="A37" s="239" t="s">
        <v>468</v>
      </c>
      <c r="B37" s="312"/>
      <c r="C37" s="312"/>
      <c r="D37" s="312"/>
      <c r="E37" s="312"/>
      <c r="F37" s="312">
        <v>130</v>
      </c>
      <c r="G37" s="312"/>
      <c r="H37" s="312"/>
      <c r="I37" s="312"/>
      <c r="J37" s="312"/>
      <c r="K37" s="312"/>
      <c r="L37" s="312"/>
      <c r="M37" s="312"/>
      <c r="N37" s="312"/>
    </row>
    <row r="38" spans="1:14" x14ac:dyDescent="0.25">
      <c r="A38" s="239" t="s">
        <v>470</v>
      </c>
      <c r="B38" s="312"/>
      <c r="C38" s="312"/>
      <c r="D38" s="312"/>
      <c r="E38" s="312"/>
      <c r="F38" s="312">
        <v>232.5</v>
      </c>
      <c r="G38" s="312"/>
      <c r="H38" s="312"/>
      <c r="I38" s="312"/>
      <c r="J38" s="312"/>
      <c r="K38" s="312"/>
      <c r="L38" s="312"/>
      <c r="M38" s="312"/>
      <c r="N38" s="312"/>
    </row>
    <row r="39" spans="1:14" x14ac:dyDescent="0.25">
      <c r="A39" s="239" t="s">
        <v>471</v>
      </c>
      <c r="B39" s="312"/>
      <c r="C39" s="312"/>
      <c r="D39" s="312"/>
      <c r="E39" s="312"/>
      <c r="F39" s="312">
        <v>715.4</v>
      </c>
      <c r="G39" s="312"/>
      <c r="H39" s="312"/>
      <c r="I39" s="312"/>
      <c r="J39" s="312"/>
      <c r="K39" s="312"/>
      <c r="L39" s="312"/>
      <c r="M39" s="312"/>
      <c r="N39" s="312"/>
    </row>
    <row r="40" spans="1:14" x14ac:dyDescent="0.25">
      <c r="A40" s="239" t="s">
        <v>472</v>
      </c>
      <c r="B40" s="312"/>
      <c r="C40" s="312"/>
      <c r="D40" s="312"/>
      <c r="E40" s="312"/>
      <c r="F40" s="312">
        <v>715.4</v>
      </c>
      <c r="G40" s="312"/>
      <c r="H40" s="312"/>
      <c r="I40" s="312"/>
      <c r="J40" s="312"/>
      <c r="K40" s="312"/>
      <c r="L40" s="312"/>
      <c r="M40" s="312"/>
      <c r="N40" s="312"/>
    </row>
    <row r="41" spans="1:14" x14ac:dyDescent="0.25">
      <c r="A41" s="239" t="s">
        <v>473</v>
      </c>
      <c r="B41" s="312"/>
      <c r="C41" s="312"/>
      <c r="D41" s="312"/>
      <c r="E41" s="312"/>
      <c r="F41" s="312">
        <v>260</v>
      </c>
      <c r="G41" s="312"/>
      <c r="H41" s="312"/>
      <c r="I41" s="312"/>
      <c r="J41" s="312"/>
      <c r="K41" s="312"/>
      <c r="L41" s="312"/>
      <c r="M41" s="312"/>
      <c r="N41" s="312"/>
    </row>
    <row r="42" spans="1:14" x14ac:dyDescent="0.25">
      <c r="A42" s="239" t="s">
        <v>474</v>
      </c>
      <c r="B42" s="312"/>
      <c r="C42" s="312"/>
      <c r="D42" s="312"/>
      <c r="E42" s="312"/>
      <c r="F42" s="312">
        <v>715.4</v>
      </c>
      <c r="G42" s="312"/>
      <c r="H42" s="312"/>
      <c r="I42" s="312"/>
      <c r="J42" s="312"/>
      <c r="K42" s="312"/>
      <c r="L42" s="312"/>
      <c r="M42" s="312"/>
      <c r="N42" s="312"/>
    </row>
    <row r="43" spans="1:14" x14ac:dyDescent="0.25">
      <c r="A43" s="239" t="s">
        <v>475</v>
      </c>
      <c r="B43" s="312"/>
      <c r="C43" s="312"/>
      <c r="D43" s="312"/>
      <c r="E43" s="312"/>
      <c r="F43" s="312">
        <v>202.5</v>
      </c>
      <c r="G43" s="312"/>
      <c r="H43" s="312"/>
      <c r="I43" s="312"/>
      <c r="J43" s="312"/>
      <c r="K43" s="312"/>
      <c r="L43" s="312"/>
      <c r="M43" s="312"/>
      <c r="N43" s="312"/>
    </row>
    <row r="44" spans="1:14" x14ac:dyDescent="0.25">
      <c r="A44" s="239" t="s">
        <v>476</v>
      </c>
      <c r="B44" s="312"/>
      <c r="C44" s="312"/>
      <c r="D44" s="312"/>
      <c r="E44" s="312"/>
      <c r="F44" s="312">
        <v>130</v>
      </c>
      <c r="G44" s="312"/>
      <c r="H44" s="312"/>
      <c r="I44" s="312"/>
      <c r="J44" s="312"/>
      <c r="K44" s="312"/>
      <c r="L44" s="312"/>
      <c r="M44" s="312"/>
      <c r="N44" s="312"/>
    </row>
    <row r="45" spans="1:14" x14ac:dyDescent="0.25">
      <c r="A45" s="239" t="s">
        <v>477</v>
      </c>
      <c r="B45" s="312"/>
      <c r="C45" s="312"/>
      <c r="D45" s="312"/>
      <c r="E45" s="312"/>
      <c r="F45" s="312">
        <v>428.1</v>
      </c>
      <c r="G45" s="312"/>
      <c r="H45" s="312"/>
      <c r="I45" s="312"/>
      <c r="J45" s="312"/>
      <c r="K45" s="312"/>
      <c r="L45" s="312"/>
      <c r="M45" s="312"/>
      <c r="N45" s="312"/>
    </row>
    <row r="46" spans="1:14" x14ac:dyDescent="0.25">
      <c r="A46" s="239"/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</row>
    <row r="47" spans="1:14" x14ac:dyDescent="0.25">
      <c r="A47" s="239"/>
      <c r="B47" s="312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</row>
    <row r="48" spans="1:14" x14ac:dyDescent="0.25">
      <c r="A48" s="239"/>
      <c r="B48" s="312"/>
      <c r="C48" s="312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</row>
    <row r="49" spans="1:14" x14ac:dyDescent="0.25">
      <c r="A49" s="239"/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</row>
    <row r="50" spans="1:14" x14ac:dyDescent="0.25">
      <c r="A50" s="239"/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</row>
    <row r="51" spans="1:14" x14ac:dyDescent="0.25">
      <c r="A51" s="239"/>
      <c r="B51" s="312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</row>
    <row r="52" spans="1:14" x14ac:dyDescent="0.25">
      <c r="A52" s="239"/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</row>
    <row r="53" spans="1:14" x14ac:dyDescent="0.25">
      <c r="A53" s="239"/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</row>
    <row r="54" spans="1:14" x14ac:dyDescent="0.25">
      <c r="A54" s="239"/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</row>
    <row r="55" spans="1:14" x14ac:dyDescent="0.25">
      <c r="A55" s="239"/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</row>
  </sheetData>
  <sortState xmlns:xlrd2="http://schemas.microsoft.com/office/spreadsheetml/2017/richdata2" ref="A5:A55">
    <sortCondition ref="A4:A55"/>
  </sortState>
  <mergeCells count="2">
    <mergeCell ref="A2:A3"/>
    <mergeCell ref="A1:N1"/>
  </mergeCells>
  <phoneticPr fontId="40" type="noConversion"/>
  <conditionalFormatting sqref="B2:M7 B8:C8 E8:M8 B9:M9 B10:C10 E10:M10 B11:M54 B55:G55 I55:M55 B56:M1048576">
    <cfRule type="cellIs" dxfId="2" priority="2" operator="lessThan">
      <formula>0</formula>
    </cfRule>
  </conditionalFormatting>
  <conditionalFormatting sqref="B3:N3">
    <cfRule type="cellIs" dxfId="1" priority="3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2"/>
  <sheetViews>
    <sheetView showGridLines="0" topLeftCell="D4" zoomScale="90" zoomScaleNormal="90" workbookViewId="0">
      <selection activeCell="F26" sqref="F26:F27"/>
    </sheetView>
  </sheetViews>
  <sheetFormatPr defaultRowHeight="15.75" x14ac:dyDescent="0.25"/>
  <cols>
    <col min="1" max="1" width="52.85546875" style="230" hidden="1" customWidth="1"/>
    <col min="2" max="2" width="24.85546875" style="230" hidden="1" customWidth="1"/>
    <col min="3" max="3" width="11.28515625" style="230" hidden="1" customWidth="1"/>
    <col min="4" max="4" width="26.5703125" style="230" customWidth="1"/>
    <col min="5" max="5" width="18.140625" style="241" customWidth="1"/>
    <col min="6" max="6" width="21" style="241" customWidth="1"/>
    <col min="7" max="10" width="15.28515625" style="241" customWidth="1"/>
    <col min="11" max="11" width="20.5703125" style="241" customWidth="1"/>
    <col min="12" max="12" width="16.42578125" style="241" customWidth="1"/>
    <col min="13" max="13" width="25.7109375" style="241" bestFit="1" customWidth="1"/>
    <col min="14" max="16" width="15.28515625" style="241" customWidth="1"/>
    <col min="17" max="17" width="19.7109375" style="230" customWidth="1"/>
    <col min="18" max="16384" width="9.140625" style="230"/>
  </cols>
  <sheetData>
    <row r="1" spans="1:17" ht="24.75" customHeight="1" thickBot="1" x14ac:dyDescent="0.3">
      <c r="D1" s="579" t="s">
        <v>303</v>
      </c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1"/>
    </row>
    <row r="2" spans="1:17" ht="21.75" customHeight="1" thickBot="1" x14ac:dyDescent="0.3">
      <c r="A2" s="237" t="s">
        <v>265</v>
      </c>
      <c r="B2" s="238" t="s">
        <v>1</v>
      </c>
      <c r="C2" s="242" t="s">
        <v>2</v>
      </c>
      <c r="D2" s="577" t="s">
        <v>22</v>
      </c>
      <c r="E2" s="337" t="s">
        <v>3</v>
      </c>
      <c r="F2" s="337" t="s">
        <v>4</v>
      </c>
      <c r="G2" s="337" t="s">
        <v>5</v>
      </c>
      <c r="H2" s="337" t="s">
        <v>6</v>
      </c>
      <c r="I2" s="337" t="s">
        <v>7</v>
      </c>
      <c r="J2" s="337" t="s">
        <v>8</v>
      </c>
      <c r="K2" s="337" t="s">
        <v>9</v>
      </c>
      <c r="L2" s="337" t="s">
        <v>10</v>
      </c>
      <c r="M2" s="337" t="s">
        <v>11</v>
      </c>
      <c r="N2" s="337" t="s">
        <v>12</v>
      </c>
      <c r="O2" s="337" t="s">
        <v>13</v>
      </c>
      <c r="P2" s="337" t="s">
        <v>14</v>
      </c>
      <c r="Q2" s="338" t="s">
        <v>15</v>
      </c>
    </row>
    <row r="3" spans="1:17" ht="16.5" thickBot="1" x14ac:dyDescent="0.3">
      <c r="A3" s="243"/>
      <c r="B3" s="243"/>
      <c r="C3" s="243"/>
      <c r="D3" s="578"/>
      <c r="E3" s="339">
        <f>SUM(E4:E22)</f>
        <v>23960</v>
      </c>
      <c r="F3" s="339">
        <f t="shared" ref="F3:P3" si="0">SUM(F4:F22)</f>
        <v>49050.22</v>
      </c>
      <c r="G3" s="339">
        <f t="shared" si="0"/>
        <v>12545.11</v>
      </c>
      <c r="H3" s="339">
        <f t="shared" si="0"/>
        <v>12545.11</v>
      </c>
      <c r="I3" s="339">
        <f t="shared" si="0"/>
        <v>0</v>
      </c>
      <c r="J3" s="339">
        <f t="shared" si="0"/>
        <v>0</v>
      </c>
      <c r="K3" s="339">
        <f t="shared" si="0"/>
        <v>0</v>
      </c>
      <c r="L3" s="339">
        <f t="shared" si="0"/>
        <v>0</v>
      </c>
      <c r="M3" s="339">
        <f t="shared" si="0"/>
        <v>0</v>
      </c>
      <c r="N3" s="339">
        <f t="shared" si="0"/>
        <v>0</v>
      </c>
      <c r="O3" s="339">
        <f t="shared" si="0"/>
        <v>0</v>
      </c>
      <c r="P3" s="339">
        <f t="shared" si="0"/>
        <v>0</v>
      </c>
      <c r="Q3" s="340">
        <f>SUM(E3:P3)</f>
        <v>98100.44</v>
      </c>
    </row>
    <row r="4" spans="1:17" x14ac:dyDescent="0.25">
      <c r="D4" s="244" t="s">
        <v>337</v>
      </c>
      <c r="E4" s="97">
        <v>11980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>
        <f t="shared" ref="Q4:Q17" si="1">SUM(E4:P4)</f>
        <v>11980</v>
      </c>
    </row>
    <row r="5" spans="1:17" x14ac:dyDescent="0.25">
      <c r="D5" s="239" t="s">
        <v>342</v>
      </c>
      <c r="E5" s="97">
        <v>11980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>
        <f t="shared" si="1"/>
        <v>11980</v>
      </c>
    </row>
    <row r="6" spans="1:17" x14ac:dyDescent="0.25">
      <c r="D6" s="239" t="s">
        <v>355</v>
      </c>
      <c r="E6" s="240"/>
      <c r="F6" s="97">
        <v>11980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>
        <f t="shared" si="1"/>
        <v>11980</v>
      </c>
    </row>
    <row r="7" spans="1:17" x14ac:dyDescent="0.25">
      <c r="D7" s="239" t="s">
        <v>359</v>
      </c>
      <c r="E7" s="240"/>
      <c r="F7" s="97">
        <v>11980</v>
      </c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>
        <f t="shared" si="1"/>
        <v>11980</v>
      </c>
    </row>
    <row r="8" spans="1:17" x14ac:dyDescent="0.25">
      <c r="D8" s="239" t="s">
        <v>363</v>
      </c>
      <c r="E8" s="240"/>
      <c r="F8" s="240">
        <v>12545.11</v>
      </c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>
        <f t="shared" si="1"/>
        <v>12545.11</v>
      </c>
    </row>
    <row r="9" spans="1:17" x14ac:dyDescent="0.25">
      <c r="D9" s="239" t="s">
        <v>361</v>
      </c>
      <c r="E9" s="240"/>
      <c r="F9" s="240">
        <v>12545.11</v>
      </c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>
        <f t="shared" si="1"/>
        <v>12545.11</v>
      </c>
    </row>
    <row r="10" spans="1:17" x14ac:dyDescent="0.25">
      <c r="D10" s="239" t="s">
        <v>416</v>
      </c>
      <c r="E10" s="240"/>
      <c r="F10" s="240"/>
      <c r="G10" s="240">
        <v>12545.11</v>
      </c>
      <c r="H10" s="240"/>
      <c r="I10" s="240"/>
      <c r="J10" s="240"/>
      <c r="K10" s="240"/>
      <c r="L10" s="240"/>
      <c r="M10" s="240"/>
      <c r="N10" s="240"/>
      <c r="O10" s="240"/>
      <c r="P10" s="240"/>
      <c r="Q10" s="240">
        <f t="shared" si="1"/>
        <v>12545.11</v>
      </c>
    </row>
    <row r="11" spans="1:17" x14ac:dyDescent="0.25">
      <c r="D11" s="239" t="s">
        <v>433</v>
      </c>
      <c r="E11" s="240"/>
      <c r="F11" s="240"/>
      <c r="G11" s="240"/>
      <c r="H11" s="240">
        <v>12545.11</v>
      </c>
      <c r="I11" s="240"/>
      <c r="J11" s="240"/>
      <c r="K11" s="240"/>
      <c r="L11" s="240"/>
      <c r="M11" s="240"/>
      <c r="N11" s="240"/>
      <c r="O11" s="240"/>
      <c r="P11" s="240"/>
      <c r="Q11" s="240">
        <f t="shared" si="1"/>
        <v>12545.11</v>
      </c>
    </row>
    <row r="12" spans="1:17" x14ac:dyDescent="0.25">
      <c r="D12" s="239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>
        <f t="shared" si="1"/>
        <v>0</v>
      </c>
    </row>
    <row r="13" spans="1:17" x14ac:dyDescent="0.25">
      <c r="D13" s="239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>
        <f t="shared" si="1"/>
        <v>0</v>
      </c>
    </row>
    <row r="14" spans="1:17" x14ac:dyDescent="0.25">
      <c r="D14" s="239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>
        <f t="shared" si="1"/>
        <v>0</v>
      </c>
    </row>
    <row r="15" spans="1:17" x14ac:dyDescent="0.25">
      <c r="D15" s="239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>
        <f t="shared" si="1"/>
        <v>0</v>
      </c>
    </row>
    <row r="16" spans="1:17" x14ac:dyDescent="0.25">
      <c r="D16" s="239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>
        <f t="shared" si="1"/>
        <v>0</v>
      </c>
    </row>
    <row r="17" spans="4:17" x14ac:dyDescent="0.25">
      <c r="D17" s="309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>
        <f t="shared" si="1"/>
        <v>0</v>
      </c>
    </row>
    <row r="18" spans="4:17" x14ac:dyDescent="0.25">
      <c r="D18" s="309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>
        <f>SUM(E18:P18)</f>
        <v>0</v>
      </c>
    </row>
    <row r="19" spans="4:17" x14ac:dyDescent="0.25">
      <c r="D19" s="309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>
        <f>SUM(E19:P19)</f>
        <v>0</v>
      </c>
    </row>
    <row r="20" spans="4:17" x14ac:dyDescent="0.25">
      <c r="D20" s="309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>
        <f>SUM(E20:P20)</f>
        <v>0</v>
      </c>
    </row>
    <row r="21" spans="4:17" x14ac:dyDescent="0.25">
      <c r="D21" s="309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>
        <f t="shared" ref="Q21:Q22" si="2">SUM(E21:P21)</f>
        <v>0</v>
      </c>
    </row>
    <row r="22" spans="4:17" x14ac:dyDescent="0.25">
      <c r="D22" s="309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>
        <f t="shared" si="2"/>
        <v>0</v>
      </c>
    </row>
    <row r="25" spans="4:17" ht="31.5" x14ac:dyDescent="0.25">
      <c r="D25" s="308" t="s">
        <v>22</v>
      </c>
      <c r="E25" s="294" t="s">
        <v>279</v>
      </c>
      <c r="F25" s="294" t="s">
        <v>278</v>
      </c>
      <c r="G25" s="294" t="s">
        <v>151</v>
      </c>
      <c r="H25" s="294" t="s">
        <v>272</v>
      </c>
      <c r="I25" s="294" t="s">
        <v>287</v>
      </c>
      <c r="J25" s="294" t="s">
        <v>304</v>
      </c>
      <c r="K25" s="294" t="s">
        <v>280</v>
      </c>
      <c r="L25" s="294" t="s">
        <v>64</v>
      </c>
      <c r="M25" s="317" t="s">
        <v>281</v>
      </c>
    </row>
    <row r="26" spans="4:17" s="304" customFormat="1" x14ac:dyDescent="0.2">
      <c r="D26" s="561" t="s">
        <v>337</v>
      </c>
      <c r="E26" s="563" t="s">
        <v>338</v>
      </c>
      <c r="F26" s="565" t="s">
        <v>339</v>
      </c>
      <c r="G26" s="565" t="s">
        <v>340</v>
      </c>
      <c r="H26" s="567">
        <v>11980</v>
      </c>
      <c r="I26" s="563">
        <v>3390</v>
      </c>
      <c r="J26" s="294">
        <v>4000</v>
      </c>
      <c r="K26" s="317" t="s">
        <v>344</v>
      </c>
      <c r="L26" s="344">
        <v>13.68</v>
      </c>
      <c r="M26" s="565" t="s">
        <v>454</v>
      </c>
      <c r="N26" s="318"/>
      <c r="O26" s="318"/>
      <c r="P26" s="318"/>
    </row>
    <row r="27" spans="4:17" s="304" customFormat="1" ht="51" customHeight="1" x14ac:dyDescent="0.2">
      <c r="D27" s="562"/>
      <c r="E27" s="564"/>
      <c r="F27" s="566"/>
      <c r="G27" s="566"/>
      <c r="H27" s="568"/>
      <c r="I27" s="575"/>
      <c r="J27" s="294">
        <v>7980</v>
      </c>
      <c r="K27" s="317" t="s">
        <v>345</v>
      </c>
      <c r="L27" s="344">
        <v>474.2</v>
      </c>
      <c r="M27" s="574"/>
      <c r="N27" s="318"/>
      <c r="O27" s="318"/>
      <c r="P27" s="318"/>
    </row>
    <row r="28" spans="4:17" ht="27" customHeight="1" x14ac:dyDescent="0.25">
      <c r="D28" s="561" t="s">
        <v>342</v>
      </c>
      <c r="E28" s="563" t="s">
        <v>338</v>
      </c>
      <c r="F28" s="565" t="s">
        <v>341</v>
      </c>
      <c r="G28" s="565" t="s">
        <v>340</v>
      </c>
      <c r="H28" s="567">
        <v>11980</v>
      </c>
      <c r="I28" s="563">
        <v>3390</v>
      </c>
      <c r="J28" s="294">
        <v>2000</v>
      </c>
      <c r="K28" s="317" t="s">
        <v>343</v>
      </c>
      <c r="L28" s="344">
        <v>3.22</v>
      </c>
      <c r="M28" s="565" t="s">
        <v>455</v>
      </c>
    </row>
    <row r="29" spans="4:17" ht="33.75" customHeight="1" x14ac:dyDescent="0.25">
      <c r="D29" s="562"/>
      <c r="E29" s="564"/>
      <c r="F29" s="566"/>
      <c r="G29" s="566"/>
      <c r="H29" s="568"/>
      <c r="I29" s="575"/>
      <c r="J29" s="294">
        <v>9980</v>
      </c>
      <c r="K29" s="317" t="s">
        <v>346</v>
      </c>
      <c r="L29" s="344">
        <v>512.91</v>
      </c>
      <c r="M29" s="566"/>
    </row>
    <row r="30" spans="4:17" ht="63" customHeight="1" x14ac:dyDescent="0.25">
      <c r="D30" s="561" t="s">
        <v>355</v>
      </c>
      <c r="E30" s="563" t="s">
        <v>357</v>
      </c>
      <c r="F30" s="565" t="s">
        <v>356</v>
      </c>
      <c r="G30" s="565" t="s">
        <v>340</v>
      </c>
      <c r="H30" s="567">
        <v>11980</v>
      </c>
      <c r="I30" s="559">
        <v>3390</v>
      </c>
      <c r="J30" s="294">
        <v>8275</v>
      </c>
      <c r="K30" s="317" t="s">
        <v>368</v>
      </c>
      <c r="L30" s="344"/>
      <c r="M30" s="418"/>
    </row>
    <row r="31" spans="4:17" x14ac:dyDescent="0.25">
      <c r="D31" s="562"/>
      <c r="E31" s="564"/>
      <c r="F31" s="566"/>
      <c r="G31" s="566"/>
      <c r="H31" s="568"/>
      <c r="I31" s="560"/>
      <c r="J31" s="294">
        <v>3705</v>
      </c>
      <c r="K31" s="317" t="s">
        <v>369</v>
      </c>
      <c r="L31" s="344"/>
      <c r="M31" s="419"/>
    </row>
    <row r="32" spans="4:17" ht="63" customHeight="1" x14ac:dyDescent="0.25">
      <c r="D32" s="561" t="s">
        <v>359</v>
      </c>
      <c r="E32" s="563" t="s">
        <v>358</v>
      </c>
      <c r="F32" s="565" t="s">
        <v>360</v>
      </c>
      <c r="G32" s="565" t="s">
        <v>340</v>
      </c>
      <c r="H32" s="567">
        <v>11980</v>
      </c>
      <c r="I32" s="559">
        <v>3390</v>
      </c>
      <c r="J32" s="294">
        <v>4500</v>
      </c>
      <c r="K32" s="317" t="s">
        <v>365</v>
      </c>
      <c r="L32" s="344"/>
      <c r="M32" s="418"/>
    </row>
    <row r="33" spans="4:13" x14ac:dyDescent="0.25">
      <c r="D33" s="562"/>
      <c r="E33" s="564"/>
      <c r="F33" s="566"/>
      <c r="G33" s="566"/>
      <c r="H33" s="568"/>
      <c r="I33" s="560"/>
      <c r="J33" s="294">
        <v>7480</v>
      </c>
      <c r="K33" s="317" t="s">
        <v>366</v>
      </c>
      <c r="L33" s="344"/>
      <c r="M33" s="420"/>
    </row>
    <row r="34" spans="4:13" ht="63" customHeight="1" x14ac:dyDescent="0.25">
      <c r="D34" s="561" t="s">
        <v>363</v>
      </c>
      <c r="E34" s="563" t="s">
        <v>338</v>
      </c>
      <c r="F34" s="565" t="s">
        <v>364</v>
      </c>
      <c r="G34" s="565" t="s">
        <v>340</v>
      </c>
      <c r="H34" s="567">
        <v>12545.11</v>
      </c>
      <c r="I34" s="559">
        <v>3390</v>
      </c>
      <c r="J34" s="506">
        <v>5000</v>
      </c>
      <c r="K34" s="476" t="s">
        <v>370</v>
      </c>
      <c r="L34" s="344"/>
      <c r="M34" s="476"/>
    </row>
    <row r="35" spans="4:13" x14ac:dyDescent="0.25">
      <c r="D35" s="576"/>
      <c r="E35" s="575"/>
      <c r="F35" s="574"/>
      <c r="G35" s="574"/>
      <c r="H35" s="573"/>
      <c r="I35" s="560"/>
      <c r="J35" s="240">
        <v>5045.1099999999997</v>
      </c>
      <c r="K35" s="308" t="s">
        <v>422</v>
      </c>
      <c r="L35" s="344"/>
      <c r="M35" s="476"/>
    </row>
    <row r="36" spans="4:13" x14ac:dyDescent="0.25">
      <c r="D36" s="562"/>
      <c r="E36" s="564"/>
      <c r="F36" s="566"/>
      <c r="G36" s="566"/>
      <c r="H36" s="568"/>
      <c r="I36" s="477">
        <v>4490</v>
      </c>
      <c r="J36" s="294">
        <v>2500</v>
      </c>
      <c r="K36" s="317" t="s">
        <v>371</v>
      </c>
      <c r="L36" s="344"/>
      <c r="M36" s="476"/>
    </row>
    <row r="37" spans="4:13" ht="63" x14ac:dyDescent="0.25">
      <c r="D37" s="239" t="s">
        <v>361</v>
      </c>
      <c r="E37" s="308" t="s">
        <v>338</v>
      </c>
      <c r="F37" s="317" t="s">
        <v>362</v>
      </c>
      <c r="G37" s="317" t="s">
        <v>340</v>
      </c>
      <c r="H37" s="294">
        <v>12545.11</v>
      </c>
      <c r="I37" s="343">
        <v>3390</v>
      </c>
      <c r="J37" s="294">
        <v>12545.11</v>
      </c>
      <c r="K37" s="317" t="s">
        <v>377</v>
      </c>
      <c r="L37" s="344">
        <v>17.760000000000002</v>
      </c>
      <c r="M37" s="478" t="s">
        <v>456</v>
      </c>
    </row>
    <row r="38" spans="4:13" ht="63" customHeight="1" x14ac:dyDescent="0.25">
      <c r="D38" s="571" t="s">
        <v>416</v>
      </c>
      <c r="E38" s="572" t="s">
        <v>338</v>
      </c>
      <c r="F38" s="570" t="s">
        <v>417</v>
      </c>
      <c r="G38" s="570" t="s">
        <v>340</v>
      </c>
      <c r="H38" s="569">
        <v>12545.11</v>
      </c>
      <c r="I38" s="343">
        <v>3390</v>
      </c>
      <c r="J38" s="294">
        <v>7045.11</v>
      </c>
      <c r="K38" s="317" t="s">
        <v>437</v>
      </c>
      <c r="L38" s="344"/>
      <c r="M38" s="478"/>
    </row>
    <row r="39" spans="4:13" x14ac:dyDescent="0.25">
      <c r="D39" s="571"/>
      <c r="E39" s="572"/>
      <c r="F39" s="570"/>
      <c r="G39" s="570"/>
      <c r="H39" s="569"/>
      <c r="I39" s="343">
        <v>3390</v>
      </c>
      <c r="J39" s="294">
        <v>3000</v>
      </c>
      <c r="K39" s="317" t="s">
        <v>435</v>
      </c>
      <c r="L39" s="344"/>
      <c r="M39" s="478"/>
    </row>
    <row r="40" spans="4:13" x14ac:dyDescent="0.25">
      <c r="D40" s="571"/>
      <c r="E40" s="572"/>
      <c r="F40" s="570"/>
      <c r="G40" s="570"/>
      <c r="H40" s="569"/>
      <c r="I40" s="343">
        <v>4490</v>
      </c>
      <c r="J40" s="294">
        <v>2500</v>
      </c>
      <c r="K40" s="317" t="s">
        <v>436</v>
      </c>
      <c r="L40" s="344"/>
      <c r="M40" s="478"/>
    </row>
    <row r="41" spans="4:13" ht="35.25" customHeight="1" x14ac:dyDescent="0.25">
      <c r="D41" s="561" t="s">
        <v>433</v>
      </c>
      <c r="E41" s="563" t="s">
        <v>338</v>
      </c>
      <c r="F41" s="565" t="s">
        <v>434</v>
      </c>
      <c r="G41" s="565" t="s">
        <v>340</v>
      </c>
      <c r="H41" s="567">
        <v>12545.11</v>
      </c>
      <c r="I41" s="559">
        <v>3390</v>
      </c>
      <c r="J41" s="294">
        <v>8545.11</v>
      </c>
      <c r="K41" s="317" t="s">
        <v>450</v>
      </c>
      <c r="L41" s="344"/>
      <c r="M41" s="418"/>
    </row>
    <row r="42" spans="4:13" ht="34.5" customHeight="1" x14ac:dyDescent="0.25">
      <c r="D42" s="562"/>
      <c r="E42" s="564"/>
      <c r="F42" s="566"/>
      <c r="G42" s="566"/>
      <c r="H42" s="568"/>
      <c r="I42" s="560"/>
      <c r="J42" s="294">
        <v>4000</v>
      </c>
      <c r="K42" s="317" t="s">
        <v>451</v>
      </c>
      <c r="L42" s="344"/>
      <c r="M42" s="420"/>
    </row>
  </sheetData>
  <mergeCells count="45">
    <mergeCell ref="I30:I31"/>
    <mergeCell ref="E32:E33"/>
    <mergeCell ref="D32:D33"/>
    <mergeCell ref="F32:F33"/>
    <mergeCell ref="G32:G33"/>
    <mergeCell ref="I32:I33"/>
    <mergeCell ref="H32:H33"/>
    <mergeCell ref="E30:E31"/>
    <mergeCell ref="D30:D31"/>
    <mergeCell ref="F30:F31"/>
    <mergeCell ref="G30:G31"/>
    <mergeCell ref="H30:H31"/>
    <mergeCell ref="D2:D3"/>
    <mergeCell ref="D1:Q1"/>
    <mergeCell ref="M26:M27"/>
    <mergeCell ref="M28:M29"/>
    <mergeCell ref="I28:I29"/>
    <mergeCell ref="H28:H29"/>
    <mergeCell ref="G28:G29"/>
    <mergeCell ref="F28:F29"/>
    <mergeCell ref="E28:E29"/>
    <mergeCell ref="I26:I27"/>
    <mergeCell ref="G26:G27"/>
    <mergeCell ref="F26:F27"/>
    <mergeCell ref="E26:E27"/>
    <mergeCell ref="D26:D27"/>
    <mergeCell ref="H26:H27"/>
    <mergeCell ref="D28:D29"/>
    <mergeCell ref="I34:I35"/>
    <mergeCell ref="H38:H40"/>
    <mergeCell ref="G38:G40"/>
    <mergeCell ref="D38:D40"/>
    <mergeCell ref="E38:E40"/>
    <mergeCell ref="F38:F40"/>
    <mergeCell ref="H34:H36"/>
    <mergeCell ref="G34:G36"/>
    <mergeCell ref="F34:F36"/>
    <mergeCell ref="E34:E36"/>
    <mergeCell ref="D34:D36"/>
    <mergeCell ref="I41:I42"/>
    <mergeCell ref="D41:D42"/>
    <mergeCell ref="E41:E42"/>
    <mergeCell ref="F41:F42"/>
    <mergeCell ref="G41:G42"/>
    <mergeCell ref="H41:H42"/>
  </mergeCells>
  <phoneticPr fontId="27" type="noConversion"/>
  <conditionalFormatting sqref="E3:Q22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41DF-9690-4A74-B48C-F2D029561164}">
  <dimension ref="A1:G27"/>
  <sheetViews>
    <sheetView showGridLines="0" workbookViewId="0">
      <selection activeCell="H10" sqref="H10"/>
    </sheetView>
  </sheetViews>
  <sheetFormatPr defaultRowHeight="15" x14ac:dyDescent="0.25"/>
  <cols>
    <col min="1" max="1" width="22.42578125" style="303" bestFit="1" customWidth="1"/>
    <col min="2" max="2" width="25.28515625" style="303" customWidth="1"/>
    <col min="3" max="3" width="17.42578125" style="303" customWidth="1"/>
    <col min="4" max="4" width="17.85546875" style="303" customWidth="1"/>
    <col min="5" max="5" width="18.42578125" style="303" customWidth="1"/>
    <col min="6" max="6" width="30.28515625" style="303" customWidth="1"/>
    <col min="7" max="7" width="28.7109375" style="303" customWidth="1"/>
    <col min="8" max="16384" width="9.140625" style="303"/>
  </cols>
  <sheetData>
    <row r="1" spans="1:7" ht="26.25" customHeight="1" thickBot="1" x14ac:dyDescent="0.3">
      <c r="A1" s="582" t="s">
        <v>305</v>
      </c>
      <c r="B1" s="583"/>
      <c r="C1" s="583"/>
      <c r="D1" s="583"/>
      <c r="E1" s="583"/>
      <c r="F1" s="584"/>
    </row>
    <row r="2" spans="1:7" ht="19.5" customHeight="1" x14ac:dyDescent="0.25">
      <c r="A2" s="341" t="s">
        <v>22</v>
      </c>
      <c r="B2" s="341" t="s">
        <v>279</v>
      </c>
      <c r="C2" s="341" t="s">
        <v>282</v>
      </c>
      <c r="D2" s="341" t="s">
        <v>272</v>
      </c>
      <c r="E2" s="341" t="s">
        <v>283</v>
      </c>
      <c r="F2" s="341" t="s">
        <v>284</v>
      </c>
    </row>
    <row r="3" spans="1:7" ht="30" x14ac:dyDescent="0.25">
      <c r="A3" s="301" t="s">
        <v>291</v>
      </c>
      <c r="B3" s="331" t="s">
        <v>292</v>
      </c>
      <c r="C3" s="282" t="s">
        <v>286</v>
      </c>
      <c r="D3" s="414">
        <f>'Execução Orçamentária'!H143</f>
        <v>104996.68999999999</v>
      </c>
      <c r="E3" s="282" t="s">
        <v>285</v>
      </c>
      <c r="F3" s="302" t="s">
        <v>402</v>
      </c>
    </row>
    <row r="4" spans="1:7" x14ac:dyDescent="0.25">
      <c r="A4" s="301" t="s">
        <v>294</v>
      </c>
      <c r="B4" s="331" t="s">
        <v>293</v>
      </c>
      <c r="C4" s="282" t="s">
        <v>286</v>
      </c>
      <c r="D4" s="414">
        <v>44379</v>
      </c>
      <c r="E4" s="282" t="s">
        <v>297</v>
      </c>
      <c r="F4" s="282" t="s">
        <v>300</v>
      </c>
      <c r="G4" s="585" t="s">
        <v>306</v>
      </c>
    </row>
    <row r="5" spans="1:7" x14ac:dyDescent="0.25">
      <c r="A5" s="301" t="s">
        <v>295</v>
      </c>
      <c r="B5" s="331" t="s">
        <v>296</v>
      </c>
      <c r="C5" s="282" t="s">
        <v>286</v>
      </c>
      <c r="D5" s="414">
        <v>58392.6</v>
      </c>
      <c r="E5" s="282" t="s">
        <v>297</v>
      </c>
      <c r="F5" s="282" t="s">
        <v>300</v>
      </c>
      <c r="G5" s="585"/>
    </row>
    <row r="6" spans="1:7" ht="30" x14ac:dyDescent="0.25">
      <c r="A6" s="301" t="s">
        <v>298</v>
      </c>
      <c r="B6" s="331" t="s">
        <v>299</v>
      </c>
      <c r="C6" s="282" t="s">
        <v>286</v>
      </c>
      <c r="D6" s="509" t="s">
        <v>428</v>
      </c>
      <c r="E6" s="282" t="s">
        <v>285</v>
      </c>
      <c r="F6" s="282" t="s">
        <v>478</v>
      </c>
      <c r="G6" s="585"/>
    </row>
    <row r="7" spans="1:7" x14ac:dyDescent="0.25">
      <c r="A7" s="301" t="s">
        <v>399</v>
      </c>
      <c r="B7" s="331" t="s">
        <v>400</v>
      </c>
      <c r="C7" s="282" t="s">
        <v>401</v>
      </c>
      <c r="D7" s="332">
        <v>4050</v>
      </c>
      <c r="E7" s="282" t="s">
        <v>285</v>
      </c>
      <c r="F7" s="282" t="s">
        <v>452</v>
      </c>
    </row>
    <row r="8" spans="1:7" x14ac:dyDescent="0.25">
      <c r="A8" s="301" t="s">
        <v>406</v>
      </c>
      <c r="B8" s="331" t="s">
        <v>405</v>
      </c>
      <c r="C8" s="282" t="s">
        <v>401</v>
      </c>
      <c r="D8" s="332">
        <v>6666.67</v>
      </c>
      <c r="E8" s="282" t="s">
        <v>285</v>
      </c>
      <c r="F8" s="302" t="s">
        <v>453</v>
      </c>
    </row>
    <row r="9" spans="1:7" ht="30" x14ac:dyDescent="0.25">
      <c r="A9" s="301" t="s">
        <v>404</v>
      </c>
      <c r="B9" s="331" t="s">
        <v>403</v>
      </c>
      <c r="C9" s="282" t="s">
        <v>401</v>
      </c>
      <c r="D9" s="332">
        <v>10880.66</v>
      </c>
      <c r="E9" s="282" t="s">
        <v>285</v>
      </c>
      <c r="F9" s="282" t="s">
        <v>469</v>
      </c>
    </row>
    <row r="10" spans="1:7" ht="30" x14ac:dyDescent="0.25">
      <c r="A10" s="301" t="s">
        <v>408</v>
      </c>
      <c r="B10" s="331" t="s">
        <v>407</v>
      </c>
      <c r="C10" s="282" t="s">
        <v>286</v>
      </c>
      <c r="D10" s="332">
        <v>15084.14</v>
      </c>
      <c r="E10" s="282" t="s">
        <v>297</v>
      </c>
      <c r="F10" s="282" t="s">
        <v>300</v>
      </c>
    </row>
    <row r="11" spans="1:7" x14ac:dyDescent="0.25">
      <c r="A11" s="301"/>
      <c r="B11" s="331"/>
      <c r="C11" s="282"/>
      <c r="D11" s="332"/>
      <c r="E11" s="282"/>
      <c r="F11" s="302"/>
    </row>
    <row r="12" spans="1:7" x14ac:dyDescent="0.25">
      <c r="A12" s="301"/>
      <c r="B12" s="331"/>
      <c r="C12" s="282"/>
      <c r="D12" s="332"/>
      <c r="E12" s="282"/>
      <c r="F12" s="282"/>
    </row>
    <row r="13" spans="1:7" x14ac:dyDescent="0.25">
      <c r="A13" s="301"/>
      <c r="B13" s="331"/>
      <c r="C13" s="282"/>
      <c r="D13" s="332"/>
      <c r="E13" s="282"/>
      <c r="F13" s="282"/>
    </row>
    <row r="14" spans="1:7" x14ac:dyDescent="0.25">
      <c r="A14" s="301"/>
      <c r="B14" s="331"/>
      <c r="C14" s="282"/>
      <c r="D14" s="332"/>
      <c r="E14" s="282"/>
      <c r="F14" s="282"/>
    </row>
    <row r="15" spans="1:7" x14ac:dyDescent="0.25">
      <c r="A15" s="301"/>
      <c r="B15" s="331"/>
      <c r="C15" s="282"/>
      <c r="D15" s="332"/>
      <c r="E15" s="282"/>
      <c r="F15" s="282"/>
    </row>
    <row r="16" spans="1:7" x14ac:dyDescent="0.25">
      <c r="A16" s="301"/>
      <c r="B16" s="331"/>
      <c r="C16" s="282"/>
      <c r="D16" s="332"/>
      <c r="E16" s="282"/>
      <c r="F16" s="282"/>
    </row>
    <row r="17" spans="1:6" x14ac:dyDescent="0.25">
      <c r="A17" s="301"/>
      <c r="B17" s="331"/>
      <c r="C17" s="282"/>
      <c r="D17" s="332"/>
      <c r="E17" s="282"/>
      <c r="F17" s="282"/>
    </row>
    <row r="18" spans="1:6" x14ac:dyDescent="0.25">
      <c r="A18" s="301"/>
      <c r="B18" s="331"/>
      <c r="C18" s="282"/>
      <c r="D18" s="332"/>
      <c r="E18" s="282"/>
      <c r="F18" s="282"/>
    </row>
    <row r="19" spans="1:6" x14ac:dyDescent="0.25">
      <c r="A19" s="301"/>
      <c r="B19" s="331"/>
      <c r="C19" s="282"/>
      <c r="D19" s="332"/>
      <c r="E19" s="282"/>
      <c r="F19" s="282"/>
    </row>
    <row r="20" spans="1:6" x14ac:dyDescent="0.25">
      <c r="A20" s="301"/>
      <c r="B20" s="331"/>
      <c r="C20" s="282"/>
      <c r="D20" s="332"/>
      <c r="E20" s="282"/>
      <c r="F20" s="282"/>
    </row>
    <row r="21" spans="1:6" x14ac:dyDescent="0.25">
      <c r="A21" s="301"/>
      <c r="B21" s="331"/>
      <c r="C21" s="282"/>
      <c r="D21" s="330"/>
      <c r="E21" s="282"/>
      <c r="F21" s="282"/>
    </row>
    <row r="22" spans="1:6" x14ac:dyDescent="0.25">
      <c r="A22" s="301"/>
      <c r="B22" s="331"/>
      <c r="C22" s="282"/>
      <c r="D22" s="330"/>
      <c r="E22" s="282"/>
      <c r="F22" s="282"/>
    </row>
    <row r="23" spans="1:6" x14ac:dyDescent="0.25">
      <c r="A23" s="301"/>
      <c r="B23" s="331"/>
      <c r="C23" s="282"/>
      <c r="D23" s="330"/>
      <c r="E23" s="282"/>
      <c r="F23" s="282"/>
    </row>
    <row r="24" spans="1:6" x14ac:dyDescent="0.25">
      <c r="A24" s="301"/>
      <c r="B24" s="331"/>
      <c r="C24" s="282"/>
      <c r="D24" s="330"/>
      <c r="E24" s="282"/>
      <c r="F24" s="282"/>
    </row>
    <row r="25" spans="1:6" x14ac:dyDescent="0.25">
      <c r="A25" s="301"/>
      <c r="B25" s="412"/>
      <c r="C25" s="282"/>
      <c r="D25" s="330"/>
      <c r="E25" s="282"/>
      <c r="F25" s="282"/>
    </row>
    <row r="26" spans="1:6" x14ac:dyDescent="0.25">
      <c r="A26" s="301"/>
      <c r="B26" s="412"/>
      <c r="C26" s="282"/>
      <c r="D26" s="330"/>
      <c r="E26" s="282"/>
      <c r="F26" s="282"/>
    </row>
    <row r="27" spans="1:6" x14ac:dyDescent="0.25">
      <c r="A27" s="291"/>
      <c r="B27" s="411"/>
      <c r="C27" s="282"/>
      <c r="D27" s="413"/>
      <c r="E27" s="282"/>
      <c r="F27" s="256"/>
    </row>
  </sheetData>
  <mergeCells count="2">
    <mergeCell ref="A1:F1"/>
    <mergeCell ref="G4:G6"/>
  </mergeCells>
  <phoneticPr fontId="4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086A-8D23-40D0-B826-F6A4307E8E46}">
  <dimension ref="A1:F29"/>
  <sheetViews>
    <sheetView showGridLines="0" tabSelected="1" workbookViewId="0">
      <selection activeCell="F23" sqref="F23"/>
    </sheetView>
  </sheetViews>
  <sheetFormatPr defaultRowHeight="15" x14ac:dyDescent="0.25"/>
  <cols>
    <col min="1" max="1" width="24.140625" style="303" customWidth="1"/>
    <col min="2" max="2" width="23" style="303" customWidth="1"/>
    <col min="3" max="3" width="16.28515625" style="303" customWidth="1"/>
    <col min="4" max="4" width="15.140625" style="303" customWidth="1"/>
    <col min="5" max="5" width="15.42578125" style="303" customWidth="1"/>
    <col min="6" max="6" width="15.85546875" style="303" bestFit="1" customWidth="1"/>
    <col min="7" max="16384" width="9.140625" style="303"/>
  </cols>
  <sheetData>
    <row r="1" spans="1:6" ht="27.75" customHeight="1" thickBot="1" x14ac:dyDescent="0.3">
      <c r="A1" s="586" t="s">
        <v>389</v>
      </c>
      <c r="B1" s="587"/>
      <c r="C1" s="587"/>
      <c r="D1" s="587"/>
      <c r="E1" s="587"/>
      <c r="F1" s="588"/>
    </row>
    <row r="2" spans="1:6" ht="28.5" x14ac:dyDescent="0.25">
      <c r="A2" s="496" t="s">
        <v>22</v>
      </c>
      <c r="B2" s="496" t="s">
        <v>253</v>
      </c>
      <c r="C2" s="496" t="s">
        <v>390</v>
      </c>
      <c r="D2" s="496" t="s">
        <v>391</v>
      </c>
      <c r="E2" s="496" t="s">
        <v>20</v>
      </c>
      <c r="F2" s="497" t="s">
        <v>393</v>
      </c>
    </row>
    <row r="3" spans="1:6" ht="30" x14ac:dyDescent="0.25">
      <c r="A3" s="282" t="s">
        <v>388</v>
      </c>
      <c r="B3" s="495" t="s">
        <v>397</v>
      </c>
      <c r="C3" s="414">
        <v>14016.46</v>
      </c>
      <c r="D3" s="414">
        <v>16007.56</v>
      </c>
      <c r="E3" s="414">
        <f>SUM(C3:D3)</f>
        <v>30024.019999999997</v>
      </c>
      <c r="F3" s="282"/>
    </row>
    <row r="4" spans="1:6" ht="30" x14ac:dyDescent="0.25">
      <c r="A4" s="282" t="s">
        <v>392</v>
      </c>
      <c r="B4" s="495" t="s">
        <v>397</v>
      </c>
      <c r="C4" s="414">
        <v>7228.52</v>
      </c>
      <c r="D4" s="414">
        <v>7885.66</v>
      </c>
      <c r="E4" s="414">
        <f t="shared" ref="E4:E29" si="0">SUM(C4:D4)</f>
        <v>15114.18</v>
      </c>
      <c r="F4" s="282">
        <v>95808319</v>
      </c>
    </row>
    <row r="5" spans="1:6" ht="45" x14ac:dyDescent="0.25">
      <c r="A5" s="282" t="s">
        <v>394</v>
      </c>
      <c r="B5" s="495" t="s">
        <v>395</v>
      </c>
      <c r="C5" s="414">
        <v>15906.27</v>
      </c>
      <c r="D5" s="414">
        <v>15906.27</v>
      </c>
      <c r="E5" s="414">
        <f>SUM(C5:D5)</f>
        <v>31812.54</v>
      </c>
      <c r="F5" s="282">
        <v>95828520</v>
      </c>
    </row>
    <row r="6" spans="1:6" ht="30" x14ac:dyDescent="0.25">
      <c r="A6" s="282" t="s">
        <v>396</v>
      </c>
      <c r="B6" s="495" t="s">
        <v>397</v>
      </c>
      <c r="C6" s="414">
        <v>211711.41</v>
      </c>
      <c r="D6" s="414">
        <v>221723.91</v>
      </c>
      <c r="E6" s="414">
        <f t="shared" si="0"/>
        <v>433435.32</v>
      </c>
      <c r="F6" s="282">
        <v>95841378</v>
      </c>
    </row>
    <row r="7" spans="1:6" ht="30" x14ac:dyDescent="0.25">
      <c r="A7" s="282" t="s">
        <v>398</v>
      </c>
      <c r="B7" s="495" t="s">
        <v>397</v>
      </c>
      <c r="C7" s="414">
        <v>159564.79999999999</v>
      </c>
      <c r="D7" s="414">
        <v>177463.37</v>
      </c>
      <c r="E7" s="414">
        <f>SUM(C7:D7)</f>
        <v>337028.17</v>
      </c>
      <c r="F7" s="282">
        <v>95872149</v>
      </c>
    </row>
    <row r="8" spans="1:6" ht="30" x14ac:dyDescent="0.25">
      <c r="A8" s="282" t="s">
        <v>410</v>
      </c>
      <c r="B8" s="495" t="s">
        <v>397</v>
      </c>
      <c r="C8" s="414">
        <v>402738.09</v>
      </c>
      <c r="D8" s="414">
        <v>439350.64</v>
      </c>
      <c r="E8" s="414">
        <f t="shared" si="0"/>
        <v>842088.73</v>
      </c>
      <c r="F8" s="282">
        <v>96955631</v>
      </c>
    </row>
    <row r="9" spans="1:6" ht="45" x14ac:dyDescent="0.25">
      <c r="A9" s="282" t="s">
        <v>411</v>
      </c>
      <c r="B9" s="495" t="s">
        <v>395</v>
      </c>
      <c r="C9" s="414">
        <v>47298.28</v>
      </c>
      <c r="D9" s="414">
        <v>51598.12</v>
      </c>
      <c r="E9" s="414">
        <f t="shared" si="0"/>
        <v>98896.4</v>
      </c>
      <c r="F9" s="282">
        <v>96955282</v>
      </c>
    </row>
    <row r="10" spans="1:6" ht="30" x14ac:dyDescent="0.25">
      <c r="A10" s="282" t="s">
        <v>413</v>
      </c>
      <c r="B10" s="495" t="s">
        <v>397</v>
      </c>
      <c r="C10" s="414">
        <v>52588.22</v>
      </c>
      <c r="D10" s="414">
        <v>63105.86</v>
      </c>
      <c r="E10" s="414">
        <f t="shared" si="0"/>
        <v>115694.08</v>
      </c>
      <c r="F10" s="282">
        <v>97006795</v>
      </c>
    </row>
    <row r="11" spans="1:6" ht="45" x14ac:dyDescent="0.25">
      <c r="A11" s="282" t="s">
        <v>414</v>
      </c>
      <c r="B11" s="495" t="s">
        <v>395</v>
      </c>
      <c r="C11" s="414">
        <v>10032.969999999999</v>
      </c>
      <c r="D11" s="414">
        <v>10945.06</v>
      </c>
      <c r="E11" s="414">
        <f t="shared" si="0"/>
        <v>20978.03</v>
      </c>
      <c r="F11" s="282">
        <v>97081435</v>
      </c>
    </row>
    <row r="12" spans="1:6" ht="27" customHeight="1" x14ac:dyDescent="0.25">
      <c r="A12" s="282" t="s">
        <v>439</v>
      </c>
      <c r="B12" s="302" t="s">
        <v>440</v>
      </c>
      <c r="C12" s="414">
        <v>5189.03</v>
      </c>
      <c r="D12" s="414">
        <v>8325.73</v>
      </c>
      <c r="E12" s="414">
        <f t="shared" si="0"/>
        <v>13514.759999999998</v>
      </c>
      <c r="F12" s="282">
        <v>98780931</v>
      </c>
    </row>
    <row r="13" spans="1:6" ht="45" x14ac:dyDescent="0.25">
      <c r="A13" s="282" t="s">
        <v>441</v>
      </c>
      <c r="B13" s="302" t="s">
        <v>440</v>
      </c>
      <c r="C13" s="414">
        <v>6157.67</v>
      </c>
      <c r="D13" s="414">
        <v>9236.5</v>
      </c>
      <c r="E13" s="414">
        <f t="shared" si="0"/>
        <v>15394.17</v>
      </c>
      <c r="F13" s="282">
        <v>98787813</v>
      </c>
    </row>
    <row r="14" spans="1:6" ht="30" x14ac:dyDescent="0.25">
      <c r="A14" s="282" t="s">
        <v>398</v>
      </c>
      <c r="B14" s="495" t="s">
        <v>442</v>
      </c>
      <c r="C14" s="414">
        <v>6611.38</v>
      </c>
      <c r="D14" s="414">
        <v>9917.07</v>
      </c>
      <c r="E14" s="414">
        <f t="shared" si="0"/>
        <v>16528.45</v>
      </c>
      <c r="F14" s="282">
        <v>98789987</v>
      </c>
    </row>
    <row r="15" spans="1:6" ht="30" x14ac:dyDescent="0.25">
      <c r="A15" s="282" t="s">
        <v>443</v>
      </c>
      <c r="B15" s="495" t="s">
        <v>442</v>
      </c>
      <c r="C15" s="414">
        <v>99855.24</v>
      </c>
      <c r="D15" s="414">
        <v>134216.98000000001</v>
      </c>
      <c r="E15" s="414">
        <f t="shared" si="0"/>
        <v>234072.22000000003</v>
      </c>
      <c r="F15" s="282">
        <v>98796232</v>
      </c>
    </row>
    <row r="16" spans="1:6" ht="45" x14ac:dyDescent="0.25">
      <c r="A16" s="282" t="s">
        <v>444</v>
      </c>
      <c r="B16" s="302" t="s">
        <v>440</v>
      </c>
      <c r="C16" s="414">
        <v>21715.53</v>
      </c>
      <c r="D16" s="414">
        <v>32573.29</v>
      </c>
      <c r="E16" s="414">
        <f t="shared" si="0"/>
        <v>54288.82</v>
      </c>
      <c r="F16" s="282">
        <v>98793823</v>
      </c>
    </row>
    <row r="17" spans="1:6" ht="45" x14ac:dyDescent="0.25">
      <c r="A17" s="282" t="s">
        <v>445</v>
      </c>
      <c r="B17" s="302" t="s">
        <v>440</v>
      </c>
      <c r="C17" s="414">
        <v>2426.14</v>
      </c>
      <c r="D17" s="414">
        <v>4159.09</v>
      </c>
      <c r="E17" s="414">
        <f t="shared" si="0"/>
        <v>6585.23</v>
      </c>
      <c r="F17" s="282">
        <v>98793248</v>
      </c>
    </row>
    <row r="18" spans="1:6" ht="45" x14ac:dyDescent="0.25">
      <c r="A18" s="282" t="s">
        <v>394</v>
      </c>
      <c r="B18" s="302" t="s">
        <v>440</v>
      </c>
      <c r="C18" s="414">
        <v>102576.92</v>
      </c>
      <c r="D18" s="414">
        <v>175846.14</v>
      </c>
      <c r="E18" s="414">
        <f t="shared" si="0"/>
        <v>278423.06</v>
      </c>
      <c r="F18" s="282">
        <v>99346912</v>
      </c>
    </row>
    <row r="19" spans="1:6" x14ac:dyDescent="0.25">
      <c r="A19" s="282"/>
      <c r="B19" s="302"/>
      <c r="C19" s="414"/>
      <c r="D19" s="414"/>
      <c r="E19" s="414">
        <f t="shared" si="0"/>
        <v>0</v>
      </c>
      <c r="F19" s="282"/>
    </row>
    <row r="20" spans="1:6" x14ac:dyDescent="0.25">
      <c r="A20" s="282"/>
      <c r="B20" s="302"/>
      <c r="C20" s="414"/>
      <c r="D20" s="414"/>
      <c r="E20" s="414">
        <f t="shared" si="0"/>
        <v>0</v>
      </c>
      <c r="F20" s="282"/>
    </row>
    <row r="21" spans="1:6" x14ac:dyDescent="0.25">
      <c r="A21" s="282"/>
      <c r="B21" s="302"/>
      <c r="C21" s="414"/>
      <c r="D21" s="414"/>
      <c r="E21" s="414">
        <f t="shared" si="0"/>
        <v>0</v>
      </c>
      <c r="F21" s="282"/>
    </row>
    <row r="22" spans="1:6" x14ac:dyDescent="0.25">
      <c r="A22" s="282"/>
      <c r="B22" s="302"/>
      <c r="C22" s="414"/>
      <c r="D22" s="414"/>
      <c r="E22" s="414">
        <f t="shared" si="0"/>
        <v>0</v>
      </c>
      <c r="F22" s="282"/>
    </row>
    <row r="23" spans="1:6" x14ac:dyDescent="0.25">
      <c r="A23" s="282"/>
      <c r="B23" s="302"/>
      <c r="C23" s="414"/>
      <c r="D23" s="414"/>
      <c r="E23" s="414">
        <f t="shared" si="0"/>
        <v>0</v>
      </c>
      <c r="F23" s="282"/>
    </row>
    <row r="24" spans="1:6" x14ac:dyDescent="0.25">
      <c r="A24" s="282"/>
      <c r="B24" s="302"/>
      <c r="C24" s="414"/>
      <c r="D24" s="414"/>
      <c r="E24" s="414">
        <f t="shared" si="0"/>
        <v>0</v>
      </c>
      <c r="F24" s="282"/>
    </row>
    <row r="25" spans="1:6" x14ac:dyDescent="0.25">
      <c r="A25" s="282"/>
      <c r="B25" s="302"/>
      <c r="C25" s="414"/>
      <c r="D25" s="414"/>
      <c r="E25" s="414">
        <f t="shared" si="0"/>
        <v>0</v>
      </c>
      <c r="F25" s="282"/>
    </row>
    <row r="26" spans="1:6" x14ac:dyDescent="0.25">
      <c r="A26" s="282"/>
      <c r="B26" s="302"/>
      <c r="C26" s="414"/>
      <c r="D26" s="414"/>
      <c r="E26" s="414">
        <f t="shared" si="0"/>
        <v>0</v>
      </c>
      <c r="F26" s="282"/>
    </row>
    <row r="27" spans="1:6" x14ac:dyDescent="0.25">
      <c r="A27" s="282"/>
      <c r="B27" s="302"/>
      <c r="C27" s="414"/>
      <c r="D27" s="414"/>
      <c r="E27" s="414">
        <f t="shared" si="0"/>
        <v>0</v>
      </c>
      <c r="F27" s="282"/>
    </row>
    <row r="28" spans="1:6" x14ac:dyDescent="0.25">
      <c r="A28" s="301"/>
      <c r="B28" s="301"/>
      <c r="C28" s="301"/>
      <c r="D28" s="301"/>
      <c r="E28" s="414">
        <f t="shared" si="0"/>
        <v>0</v>
      </c>
      <c r="F28" s="282"/>
    </row>
    <row r="29" spans="1:6" x14ac:dyDescent="0.25">
      <c r="A29" s="301"/>
      <c r="B29" s="301"/>
      <c r="C29" s="301"/>
      <c r="D29" s="301"/>
      <c r="E29" s="414">
        <f t="shared" si="0"/>
        <v>0</v>
      </c>
      <c r="F29" s="282"/>
    </row>
  </sheetData>
  <mergeCells count="1">
    <mergeCell ref="A1:F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showGridLines="0" workbookViewId="0">
      <selection activeCell="G40" sqref="G40"/>
    </sheetView>
  </sheetViews>
  <sheetFormatPr defaultRowHeight="12.75" x14ac:dyDescent="0.2"/>
  <cols>
    <col min="1" max="1" width="19.28515625" customWidth="1"/>
    <col min="2" max="2" width="28.5703125" customWidth="1"/>
    <col min="3" max="3" width="25.28515625" customWidth="1"/>
    <col min="4" max="4" width="22" customWidth="1"/>
    <col min="5" max="5" width="14.5703125" customWidth="1"/>
    <col min="6" max="6" width="15" customWidth="1"/>
  </cols>
  <sheetData>
    <row r="1" spans="1:6" ht="13.5" thickBot="1" x14ac:dyDescent="0.25"/>
    <row r="2" spans="1:6" ht="26.25" customHeight="1" thickBot="1" x14ac:dyDescent="0.25">
      <c r="A2" s="589" t="s">
        <v>218</v>
      </c>
      <c r="B2" s="590"/>
      <c r="C2" s="590"/>
      <c r="D2" s="591"/>
    </row>
    <row r="3" spans="1:6" ht="15.75" x14ac:dyDescent="0.2">
      <c r="A3" s="180" t="s">
        <v>219</v>
      </c>
      <c r="B3" s="181" t="s">
        <v>22</v>
      </c>
      <c r="C3" s="181" t="s">
        <v>0</v>
      </c>
      <c r="D3" s="182" t="s">
        <v>220</v>
      </c>
    </row>
    <row r="4" spans="1:6" ht="15" x14ac:dyDescent="0.25">
      <c r="A4" s="177" t="s">
        <v>237</v>
      </c>
      <c r="B4" s="155" t="s">
        <v>242</v>
      </c>
      <c r="C4" s="99" t="s">
        <v>241</v>
      </c>
      <c r="D4" s="178"/>
    </row>
    <row r="5" spans="1:6" ht="15" x14ac:dyDescent="0.25">
      <c r="A5" s="177" t="s">
        <v>238</v>
      </c>
      <c r="B5" s="155" t="s">
        <v>242</v>
      </c>
      <c r="C5" s="99" t="s">
        <v>241</v>
      </c>
      <c r="D5" s="178"/>
    </row>
    <row r="6" spans="1:6" ht="15" x14ac:dyDescent="0.25">
      <c r="A6" s="177" t="s">
        <v>221</v>
      </c>
      <c r="B6" s="155" t="s">
        <v>84</v>
      </c>
      <c r="C6" s="99" t="s">
        <v>228</v>
      </c>
      <c r="D6" s="178">
        <v>116880.6</v>
      </c>
      <c r="E6" s="43"/>
    </row>
    <row r="7" spans="1:6" ht="15" x14ac:dyDescent="0.25">
      <c r="A7" s="177" t="s">
        <v>222</v>
      </c>
      <c r="B7" s="155" t="s">
        <v>113</v>
      </c>
      <c r="C7" s="99" t="s">
        <v>229</v>
      </c>
      <c r="D7" s="178">
        <v>147103.57</v>
      </c>
      <c r="E7" s="43"/>
    </row>
    <row r="8" spans="1:6" ht="15" x14ac:dyDescent="0.25">
      <c r="A8" s="177" t="s">
        <v>223</v>
      </c>
      <c r="B8" s="155" t="s">
        <v>80</v>
      </c>
      <c r="C8" s="99" t="s">
        <v>230</v>
      </c>
      <c r="D8" s="178">
        <v>7342.22</v>
      </c>
      <c r="E8" s="43"/>
    </row>
    <row r="9" spans="1:6" ht="15" x14ac:dyDescent="0.25">
      <c r="A9" s="177" t="s">
        <v>224</v>
      </c>
      <c r="B9" s="155" t="s">
        <v>87</v>
      </c>
      <c r="C9" s="99" t="s">
        <v>231</v>
      </c>
      <c r="D9" s="178">
        <v>48423.12</v>
      </c>
      <c r="E9" s="43"/>
    </row>
    <row r="10" spans="1:6" ht="15" x14ac:dyDescent="0.25">
      <c r="A10" s="177" t="s">
        <v>236</v>
      </c>
      <c r="B10" s="155" t="s">
        <v>120</v>
      </c>
      <c r="C10" s="99" t="s">
        <v>232</v>
      </c>
      <c r="D10" s="178">
        <v>4055</v>
      </c>
      <c r="E10" s="43"/>
    </row>
    <row r="11" spans="1:6" ht="15" x14ac:dyDescent="0.25">
      <c r="A11" s="177" t="s">
        <v>225</v>
      </c>
      <c r="B11" s="155" t="s">
        <v>122</v>
      </c>
      <c r="C11" s="99" t="s">
        <v>233</v>
      </c>
      <c r="D11" s="178">
        <v>4120.29</v>
      </c>
      <c r="E11" s="43"/>
    </row>
    <row r="12" spans="1:6" ht="15" x14ac:dyDescent="0.25">
      <c r="A12" s="177" t="s">
        <v>226</v>
      </c>
      <c r="B12" s="155" t="s">
        <v>125</v>
      </c>
      <c r="C12" s="99" t="s">
        <v>234</v>
      </c>
      <c r="D12" s="178">
        <v>168184.76</v>
      </c>
      <c r="E12" s="43"/>
    </row>
    <row r="13" spans="1:6" ht="15" x14ac:dyDescent="0.25">
      <c r="A13" s="177" t="s">
        <v>240</v>
      </c>
      <c r="B13" s="155"/>
      <c r="C13" s="99" t="s">
        <v>239</v>
      </c>
      <c r="D13" s="178">
        <v>8935.9</v>
      </c>
      <c r="E13" s="43"/>
    </row>
    <row r="14" spans="1:6" ht="15" x14ac:dyDescent="0.25">
      <c r="A14" s="290" t="s">
        <v>270</v>
      </c>
      <c r="B14" s="256" t="s">
        <v>85</v>
      </c>
      <c r="C14" s="291" t="s">
        <v>271</v>
      </c>
      <c r="D14" s="292">
        <v>412462.81</v>
      </c>
      <c r="E14" s="43"/>
    </row>
    <row r="15" spans="1:6" ht="15" x14ac:dyDescent="0.25">
      <c r="A15" s="177" t="s">
        <v>227</v>
      </c>
      <c r="B15" s="155" t="s">
        <v>126</v>
      </c>
      <c r="C15" s="99" t="s">
        <v>235</v>
      </c>
      <c r="D15" s="178">
        <v>42432.33</v>
      </c>
      <c r="E15" s="43"/>
    </row>
    <row r="16" spans="1:6" ht="15" thickBot="1" x14ac:dyDescent="0.25">
      <c r="A16" s="592" t="s">
        <v>21</v>
      </c>
      <c r="B16" s="593"/>
      <c r="C16" s="594"/>
      <c r="D16" s="179">
        <f>SUM(D4:D15)</f>
        <v>959940.6</v>
      </c>
      <c r="E16" s="43"/>
      <c r="F16" s="43"/>
    </row>
    <row r="17" spans="6:6" x14ac:dyDescent="0.2">
      <c r="F17" s="43"/>
    </row>
  </sheetData>
  <mergeCells count="2">
    <mergeCell ref="A2:D2"/>
    <mergeCell ref="A16:C1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40"/>
  <sheetViews>
    <sheetView showGridLines="0" topLeftCell="AA1" workbookViewId="0">
      <selection activeCell="W19" activeCellId="1" sqref="P20:P23 W19:W22"/>
    </sheetView>
  </sheetViews>
  <sheetFormatPr defaultRowHeight="12.75" x14ac:dyDescent="0.2"/>
  <cols>
    <col min="1" max="1" width="15.85546875" style="44" customWidth="1"/>
    <col min="2" max="2" width="23" style="44" customWidth="1"/>
    <col min="3" max="3" width="16.7109375" style="44" customWidth="1"/>
    <col min="4" max="4" width="19.140625" style="44" customWidth="1"/>
    <col min="5" max="5" width="19.5703125" style="44" bestFit="1" customWidth="1"/>
    <col min="6" max="6" width="13" style="44" customWidth="1"/>
    <col min="7" max="7" width="9.140625" style="44"/>
    <col min="8" max="8" width="16.7109375" style="44" customWidth="1"/>
    <col min="9" max="9" width="18.85546875" style="44" bestFit="1" customWidth="1"/>
    <col min="10" max="10" width="16.5703125" style="44" customWidth="1"/>
    <col min="11" max="11" width="16.42578125" style="44" bestFit="1" customWidth="1"/>
    <col min="12" max="12" width="21.28515625" style="44" customWidth="1"/>
    <col min="13" max="13" width="13.42578125" style="44" customWidth="1"/>
    <col min="15" max="15" width="19" customWidth="1"/>
    <col min="16" max="16" width="20.5703125" customWidth="1"/>
    <col min="17" max="17" width="18.85546875" customWidth="1"/>
    <col min="18" max="18" width="16.42578125" customWidth="1"/>
    <col min="19" max="19" width="19.5703125" bestFit="1" customWidth="1"/>
    <col min="20" max="20" width="14.140625" customWidth="1"/>
    <col min="21" max="21" width="13.42578125" bestFit="1" customWidth="1"/>
    <col min="22" max="22" width="15.140625" bestFit="1" customWidth="1"/>
    <col min="23" max="23" width="20.5703125" customWidth="1"/>
    <col min="24" max="24" width="17.42578125" customWidth="1"/>
    <col min="25" max="25" width="22.85546875" customWidth="1"/>
    <col min="26" max="26" width="19.5703125" bestFit="1" customWidth="1"/>
    <col min="27" max="27" width="15.85546875" customWidth="1"/>
    <col min="30" max="34" width="19" customWidth="1"/>
    <col min="35" max="35" width="18.7109375" customWidth="1"/>
    <col min="36" max="36" width="23.7109375" bestFit="1" customWidth="1"/>
  </cols>
  <sheetData>
    <row r="1" spans="1:36" s="94" customFormat="1" x14ac:dyDescent="0.2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M1" s="265"/>
    </row>
    <row r="2" spans="1:36" ht="17.25" thickBot="1" x14ac:dyDescent="0.25">
      <c r="A2" s="629" t="s">
        <v>179</v>
      </c>
      <c r="B2" s="629"/>
      <c r="C2" s="629"/>
      <c r="D2" s="629"/>
      <c r="E2" s="629"/>
      <c r="F2" s="629"/>
      <c r="H2" s="631" t="s">
        <v>188</v>
      </c>
      <c r="I2" s="631"/>
      <c r="J2" s="631"/>
      <c r="K2" s="631"/>
      <c r="L2" s="631"/>
      <c r="M2" s="631"/>
      <c r="O2" s="617" t="s">
        <v>190</v>
      </c>
      <c r="P2" s="617"/>
      <c r="Q2" s="617"/>
      <c r="R2" s="617"/>
      <c r="S2" s="617"/>
      <c r="T2" s="617"/>
      <c r="V2" s="614" t="s">
        <v>194</v>
      </c>
      <c r="W2" s="614"/>
      <c r="X2" s="614"/>
      <c r="Y2" s="614"/>
      <c r="Z2" s="614"/>
      <c r="AA2" s="614"/>
    </row>
    <row r="3" spans="1:36" ht="23.25" customHeight="1" thickBot="1" x14ac:dyDescent="0.25">
      <c r="A3" s="139" t="s">
        <v>166</v>
      </c>
      <c r="B3" s="139" t="s">
        <v>180</v>
      </c>
      <c r="C3" s="630" t="s">
        <v>181</v>
      </c>
      <c r="D3" s="630"/>
      <c r="E3" s="140" t="s">
        <v>182</v>
      </c>
      <c r="F3" s="139" t="s">
        <v>167</v>
      </c>
      <c r="H3" s="137" t="s">
        <v>166</v>
      </c>
      <c r="I3" s="137" t="s">
        <v>180</v>
      </c>
      <c r="J3" s="632" t="s">
        <v>181</v>
      </c>
      <c r="K3" s="632"/>
      <c r="L3" s="138" t="s">
        <v>182</v>
      </c>
      <c r="M3" s="137" t="s">
        <v>167</v>
      </c>
      <c r="O3" s="126" t="s">
        <v>166</v>
      </c>
      <c r="P3" s="126" t="s">
        <v>180</v>
      </c>
      <c r="Q3" s="618" t="s">
        <v>181</v>
      </c>
      <c r="R3" s="618"/>
      <c r="S3" s="127" t="s">
        <v>182</v>
      </c>
      <c r="T3" s="126" t="s">
        <v>167</v>
      </c>
      <c r="V3" s="279" t="s">
        <v>166</v>
      </c>
      <c r="W3" s="279" t="s">
        <v>180</v>
      </c>
      <c r="X3" s="615" t="s">
        <v>181</v>
      </c>
      <c r="Y3" s="615"/>
      <c r="Z3" s="280" t="s">
        <v>182</v>
      </c>
      <c r="AA3" s="279" t="s">
        <v>167</v>
      </c>
      <c r="AD3" s="625" t="s">
        <v>165</v>
      </c>
      <c r="AE3" s="626"/>
      <c r="AF3" s="626"/>
      <c r="AG3" s="626"/>
      <c r="AH3" s="626"/>
      <c r="AI3" s="627"/>
      <c r="AJ3" s="628"/>
    </row>
    <row r="4" spans="1:36" ht="16.5" thickBot="1" x14ac:dyDescent="0.3">
      <c r="A4" s="620" t="s">
        <v>168</v>
      </c>
      <c r="B4" s="608">
        <v>116388.82</v>
      </c>
      <c r="C4" s="112"/>
      <c r="D4" s="113"/>
      <c r="E4" s="609">
        <f>B4-D7</f>
        <v>116388.82</v>
      </c>
      <c r="F4" s="613"/>
      <c r="H4" s="616" t="s">
        <v>168</v>
      </c>
      <c r="I4" s="608">
        <v>162830.32</v>
      </c>
      <c r="J4" s="112"/>
      <c r="K4" s="113"/>
      <c r="L4" s="609">
        <f>I4-K7</f>
        <v>162830.32</v>
      </c>
      <c r="M4" s="613"/>
      <c r="O4" s="607" t="s">
        <v>168</v>
      </c>
      <c r="P4" s="608">
        <v>226483.09</v>
      </c>
      <c r="Q4" s="114">
        <v>45504</v>
      </c>
      <c r="R4" s="113">
        <v>226483.09</v>
      </c>
      <c r="S4" s="609">
        <f>P4-R7</f>
        <v>0</v>
      </c>
      <c r="T4" s="613" t="s">
        <v>184</v>
      </c>
      <c r="V4" s="604" t="s">
        <v>168</v>
      </c>
      <c r="W4" s="601">
        <v>239611.05</v>
      </c>
      <c r="X4" s="114">
        <v>45504</v>
      </c>
      <c r="Y4" s="113">
        <v>239611.05</v>
      </c>
      <c r="Z4" s="595">
        <f ca="1">W4-Y5</f>
        <v>0</v>
      </c>
      <c r="AA4" s="598" t="s">
        <v>184</v>
      </c>
      <c r="AD4" s="146" t="s">
        <v>166</v>
      </c>
      <c r="AE4" s="146">
        <v>2022</v>
      </c>
      <c r="AF4" s="146">
        <v>2023</v>
      </c>
      <c r="AG4" s="146" t="s">
        <v>195</v>
      </c>
      <c r="AH4" s="146" t="s">
        <v>196</v>
      </c>
      <c r="AI4" s="146" t="s">
        <v>20</v>
      </c>
      <c r="AJ4" s="147" t="s">
        <v>167</v>
      </c>
    </row>
    <row r="5" spans="1:36" ht="15.75" x14ac:dyDescent="0.25">
      <c r="A5" s="620"/>
      <c r="B5" s="608"/>
      <c r="C5" s="112"/>
      <c r="D5" s="113"/>
      <c r="E5" s="609"/>
      <c r="F5" s="613"/>
      <c r="H5" s="616"/>
      <c r="I5" s="608"/>
      <c r="J5" s="112"/>
      <c r="K5" s="113"/>
      <c r="L5" s="609"/>
      <c r="M5" s="613"/>
      <c r="O5" s="607"/>
      <c r="P5" s="608"/>
      <c r="Q5" s="112"/>
      <c r="R5" s="113"/>
      <c r="S5" s="609"/>
      <c r="T5" s="613"/>
      <c r="V5" s="606"/>
      <c r="W5" s="603"/>
      <c r="X5" s="128" t="s">
        <v>183</v>
      </c>
      <c r="Y5" s="129">
        <f ca="1">SUM(Y4:Y5)</f>
        <v>0</v>
      </c>
      <c r="Z5" s="597"/>
      <c r="AA5" s="600"/>
      <c r="AD5" s="100" t="s">
        <v>168</v>
      </c>
      <c r="AE5" s="148">
        <f>E4</f>
        <v>116388.82</v>
      </c>
      <c r="AF5" s="148">
        <f>L4</f>
        <v>162830.32</v>
      </c>
      <c r="AG5" s="148">
        <f>S4</f>
        <v>0</v>
      </c>
      <c r="AH5" s="148">
        <f ca="1">Z4</f>
        <v>0</v>
      </c>
      <c r="AI5" s="97">
        <f ca="1">SUM(AE5:AH5)</f>
        <v>39608.090000000026</v>
      </c>
      <c r="AJ5" s="104"/>
    </row>
    <row r="6" spans="1:36" ht="15.75" x14ac:dyDescent="0.25">
      <c r="A6" s="620"/>
      <c r="B6" s="608"/>
      <c r="C6" s="112"/>
      <c r="D6" s="113"/>
      <c r="E6" s="609"/>
      <c r="F6" s="613"/>
      <c r="H6" s="616"/>
      <c r="I6" s="608"/>
      <c r="J6" s="112"/>
      <c r="K6" s="113"/>
      <c r="L6" s="609"/>
      <c r="M6" s="613"/>
      <c r="O6" s="607"/>
      <c r="P6" s="608"/>
      <c r="Q6" s="112"/>
      <c r="R6" s="113"/>
      <c r="S6" s="609"/>
      <c r="T6" s="613"/>
      <c r="V6" s="604" t="s">
        <v>169</v>
      </c>
      <c r="W6" s="601">
        <v>262923.28000000003</v>
      </c>
      <c r="X6" s="114">
        <v>45561</v>
      </c>
      <c r="Y6" s="113">
        <f>W6</f>
        <v>262923.28000000003</v>
      </c>
      <c r="Z6" s="595">
        <f>W6-Y9</f>
        <v>0</v>
      </c>
      <c r="AA6" s="598" t="s">
        <v>184</v>
      </c>
      <c r="AD6" s="95" t="s">
        <v>169</v>
      </c>
      <c r="AE6" s="149">
        <f>E8</f>
        <v>0</v>
      </c>
      <c r="AF6" s="149">
        <f>L8</f>
        <v>0</v>
      </c>
      <c r="AG6" s="149">
        <f>S8</f>
        <v>0</v>
      </c>
      <c r="AH6" s="149">
        <f>Z6</f>
        <v>0</v>
      </c>
      <c r="AI6" s="97">
        <f t="shared" ref="AI6:AI15" si="0">SUM(AE6:AH6)</f>
        <v>0</v>
      </c>
      <c r="AJ6" s="105"/>
    </row>
    <row r="7" spans="1:36" ht="15.75" x14ac:dyDescent="0.25">
      <c r="A7" s="620"/>
      <c r="B7" s="608"/>
      <c r="C7" s="128" t="s">
        <v>183</v>
      </c>
      <c r="D7" s="129">
        <f>SUM(D4:D6)</f>
        <v>0</v>
      </c>
      <c r="E7" s="609"/>
      <c r="F7" s="613"/>
      <c r="H7" s="616"/>
      <c r="I7" s="608"/>
      <c r="J7" s="128" t="s">
        <v>183</v>
      </c>
      <c r="K7" s="129">
        <f>SUM(K4:K6)</f>
        <v>0</v>
      </c>
      <c r="L7" s="609"/>
      <c r="M7" s="613"/>
      <c r="O7" s="607"/>
      <c r="P7" s="608"/>
      <c r="Q7" s="128" t="s">
        <v>183</v>
      </c>
      <c r="R7" s="129">
        <f>SUM(R4:R6)</f>
        <v>226483.09</v>
      </c>
      <c r="S7" s="609"/>
      <c r="T7" s="613"/>
      <c r="V7" s="605"/>
      <c r="W7" s="602"/>
      <c r="X7" s="112"/>
      <c r="Y7" s="113"/>
      <c r="Z7" s="596"/>
      <c r="AA7" s="599"/>
      <c r="AD7" s="95" t="s">
        <v>152</v>
      </c>
      <c r="AE7" s="149">
        <f>E10</f>
        <v>124349.71000000002</v>
      </c>
      <c r="AF7" s="149">
        <f>L10</f>
        <v>0</v>
      </c>
      <c r="AG7" s="149">
        <f>S12</f>
        <v>0</v>
      </c>
      <c r="AH7" s="149">
        <f>Z10</f>
        <v>0</v>
      </c>
      <c r="AI7" s="97">
        <f t="shared" si="0"/>
        <v>124349.71000000002</v>
      </c>
      <c r="AJ7" s="105"/>
    </row>
    <row r="8" spans="1:36" ht="15.75" x14ac:dyDescent="0.25">
      <c r="A8" s="620" t="s">
        <v>169</v>
      </c>
      <c r="B8" s="608">
        <v>289016</v>
      </c>
      <c r="C8" s="114">
        <v>45415</v>
      </c>
      <c r="D8" s="113">
        <v>289016</v>
      </c>
      <c r="E8" s="609">
        <f>B8-D9</f>
        <v>0</v>
      </c>
      <c r="F8" s="613" t="s">
        <v>184</v>
      </c>
      <c r="H8" s="616" t="s">
        <v>169</v>
      </c>
      <c r="I8" s="608">
        <v>404339.25</v>
      </c>
      <c r="J8" s="114">
        <v>45415</v>
      </c>
      <c r="K8" s="113">
        <v>404339.25</v>
      </c>
      <c r="L8" s="609">
        <f>I8-K9</f>
        <v>0</v>
      </c>
      <c r="M8" s="613" t="s">
        <v>184</v>
      </c>
      <c r="O8" s="607" t="s">
        <v>169</v>
      </c>
      <c r="P8" s="608">
        <v>248518.07</v>
      </c>
      <c r="Q8" s="114">
        <v>45492</v>
      </c>
      <c r="R8" s="113">
        <f>P8</f>
        <v>248518.07</v>
      </c>
      <c r="S8" s="609">
        <f>P8-R11</f>
        <v>0</v>
      </c>
      <c r="T8" s="613" t="s">
        <v>184</v>
      </c>
      <c r="V8" s="605"/>
      <c r="W8" s="602"/>
      <c r="X8" s="112"/>
      <c r="Y8" s="113"/>
      <c r="Z8" s="596"/>
      <c r="AA8" s="599"/>
      <c r="AD8" s="95" t="s">
        <v>170</v>
      </c>
      <c r="AE8" s="149">
        <f>E14</f>
        <v>227381.46000000002</v>
      </c>
      <c r="AF8" s="149">
        <f>L14</f>
        <v>425999.01</v>
      </c>
      <c r="AG8" s="149">
        <f>S14</f>
        <v>0</v>
      </c>
      <c r="AH8" s="149">
        <f>Z13</f>
        <v>0</v>
      </c>
      <c r="AI8" s="97">
        <f t="shared" si="0"/>
        <v>653380.47</v>
      </c>
      <c r="AJ8" s="105"/>
    </row>
    <row r="9" spans="1:36" ht="15.75" x14ac:dyDescent="0.25">
      <c r="A9" s="620"/>
      <c r="B9" s="608"/>
      <c r="C9" s="128" t="s">
        <v>183</v>
      </c>
      <c r="D9" s="129">
        <f>SUM(D8)</f>
        <v>289016</v>
      </c>
      <c r="E9" s="609"/>
      <c r="F9" s="613"/>
      <c r="H9" s="616"/>
      <c r="I9" s="608"/>
      <c r="J9" s="128" t="s">
        <v>183</v>
      </c>
      <c r="K9" s="129">
        <f>SUM(K8)</f>
        <v>404339.25</v>
      </c>
      <c r="L9" s="609"/>
      <c r="M9" s="613"/>
      <c r="O9" s="607"/>
      <c r="P9" s="608"/>
      <c r="Q9" s="112"/>
      <c r="R9" s="113"/>
      <c r="S9" s="609"/>
      <c r="T9" s="613"/>
      <c r="V9" s="606"/>
      <c r="W9" s="603"/>
      <c r="X9" s="128" t="s">
        <v>183</v>
      </c>
      <c r="Y9" s="129">
        <f>SUM(Y6:Y8)</f>
        <v>262923.28000000003</v>
      </c>
      <c r="Z9" s="597"/>
      <c r="AA9" s="600"/>
      <c r="AD9" s="95" t="s">
        <v>171</v>
      </c>
      <c r="AE9" s="149">
        <v>0</v>
      </c>
      <c r="AF9" s="153">
        <v>0</v>
      </c>
      <c r="AG9" s="149">
        <f>S18</f>
        <v>0</v>
      </c>
      <c r="AH9" s="149">
        <f>Z17</f>
        <v>0</v>
      </c>
      <c r="AI9" s="97">
        <f t="shared" si="0"/>
        <v>0</v>
      </c>
      <c r="AJ9" s="105"/>
    </row>
    <row r="10" spans="1:36" ht="15.75" x14ac:dyDescent="0.25">
      <c r="A10" s="620" t="s">
        <v>152</v>
      </c>
      <c r="B10" s="608">
        <v>491960.31</v>
      </c>
      <c r="C10" s="114">
        <v>45397</v>
      </c>
      <c r="D10" s="113">
        <f>367610.6</f>
        <v>367610.6</v>
      </c>
      <c r="E10" s="609">
        <f>B10-D13</f>
        <v>124349.71000000002</v>
      </c>
      <c r="F10" s="613"/>
      <c r="H10" s="616" t="s">
        <v>152</v>
      </c>
      <c r="I10" s="608">
        <v>633768.53</v>
      </c>
      <c r="J10" s="114">
        <v>45397</v>
      </c>
      <c r="K10" s="113">
        <f>633768.53</f>
        <v>633768.53</v>
      </c>
      <c r="L10" s="609">
        <f>I10-K13</f>
        <v>0</v>
      </c>
      <c r="M10" s="613" t="s">
        <v>184</v>
      </c>
      <c r="O10" s="607"/>
      <c r="P10" s="608"/>
      <c r="Q10" s="112"/>
      <c r="R10" s="113"/>
      <c r="S10" s="609"/>
      <c r="T10" s="613"/>
      <c r="V10" s="633" t="s">
        <v>152</v>
      </c>
      <c r="W10" s="634">
        <v>529012.29</v>
      </c>
      <c r="X10" s="114">
        <v>45505</v>
      </c>
      <c r="Y10" s="113">
        <v>286784.53000000003</v>
      </c>
      <c r="Z10" s="635">
        <f>W10-Y12</f>
        <v>0</v>
      </c>
      <c r="AA10" s="636" t="s">
        <v>184</v>
      </c>
      <c r="AD10" s="95" t="s">
        <v>172</v>
      </c>
      <c r="AE10" s="149">
        <f>E18</f>
        <v>0</v>
      </c>
      <c r="AF10" s="149">
        <f>L18</f>
        <v>0</v>
      </c>
      <c r="AG10" s="149">
        <f>S20</f>
        <v>0</v>
      </c>
      <c r="AH10" s="149">
        <f>Z19</f>
        <v>0</v>
      </c>
      <c r="AI10" s="97">
        <f>SUM(AE10:AH10)</f>
        <v>0</v>
      </c>
      <c r="AJ10" s="105"/>
    </row>
    <row r="11" spans="1:36" ht="15.75" x14ac:dyDescent="0.25">
      <c r="A11" s="620"/>
      <c r="B11" s="608"/>
      <c r="C11" s="112"/>
      <c r="D11" s="113"/>
      <c r="E11" s="609"/>
      <c r="F11" s="613"/>
      <c r="H11" s="616"/>
      <c r="I11" s="608"/>
      <c r="J11" s="112"/>
      <c r="K11" s="113"/>
      <c r="L11" s="609"/>
      <c r="M11" s="613"/>
      <c r="O11" s="607"/>
      <c r="P11" s="608"/>
      <c r="Q11" s="128" t="s">
        <v>183</v>
      </c>
      <c r="R11" s="129">
        <f>SUM(R8:R10)</f>
        <v>248518.07</v>
      </c>
      <c r="S11" s="609"/>
      <c r="T11" s="613"/>
      <c r="V11" s="633"/>
      <c r="W11" s="634"/>
      <c r="X11" s="114">
        <v>45526</v>
      </c>
      <c r="Y11" s="113">
        <v>242227.76</v>
      </c>
      <c r="Z11" s="635"/>
      <c r="AA11" s="636"/>
      <c r="AD11" s="95" t="s">
        <v>173</v>
      </c>
      <c r="AE11" s="149">
        <f>E21</f>
        <v>0</v>
      </c>
      <c r="AF11" s="149">
        <f>L22</f>
        <v>0</v>
      </c>
      <c r="AG11" s="149">
        <f>0</f>
        <v>0</v>
      </c>
      <c r="AH11" s="149">
        <f>0</f>
        <v>0</v>
      </c>
      <c r="AI11" s="97">
        <f t="shared" si="0"/>
        <v>0</v>
      </c>
      <c r="AJ11" s="105"/>
    </row>
    <row r="12" spans="1:36" ht="15.75" x14ac:dyDescent="0.25">
      <c r="A12" s="620"/>
      <c r="B12" s="608"/>
      <c r="C12" s="112"/>
      <c r="D12" s="113"/>
      <c r="E12" s="609"/>
      <c r="F12" s="613"/>
      <c r="H12" s="616"/>
      <c r="I12" s="608"/>
      <c r="J12" s="112"/>
      <c r="K12" s="113"/>
      <c r="L12" s="609"/>
      <c r="M12" s="613"/>
      <c r="O12" s="607" t="s">
        <v>152</v>
      </c>
      <c r="P12" s="608">
        <v>380971.61</v>
      </c>
      <c r="Q12" s="114">
        <v>45426</v>
      </c>
      <c r="R12" s="113">
        <v>380971.61</v>
      </c>
      <c r="S12" s="609">
        <f>P12-R13</f>
        <v>0</v>
      </c>
      <c r="T12" s="613" t="s">
        <v>184</v>
      </c>
      <c r="V12" s="633"/>
      <c r="W12" s="634"/>
      <c r="X12" s="128" t="s">
        <v>183</v>
      </c>
      <c r="Y12" s="129">
        <f>SUM(Y10:Y11)</f>
        <v>529012.29</v>
      </c>
      <c r="Z12" s="635"/>
      <c r="AA12" s="636"/>
      <c r="AD12" s="95" t="s">
        <v>174</v>
      </c>
      <c r="AE12" s="149">
        <f>E25</f>
        <v>106013.69000000006</v>
      </c>
      <c r="AF12" s="149">
        <f>L25</f>
        <v>177076.27999999997</v>
      </c>
      <c r="AG12" s="149">
        <f>S24</f>
        <v>0</v>
      </c>
      <c r="AH12" s="149">
        <f>Z23</f>
        <v>0</v>
      </c>
      <c r="AI12" s="97">
        <f t="shared" si="0"/>
        <v>283089.97000000003</v>
      </c>
      <c r="AJ12" s="105"/>
    </row>
    <row r="13" spans="1:36" ht="15.75" x14ac:dyDescent="0.25">
      <c r="A13" s="620"/>
      <c r="B13" s="608"/>
      <c r="C13" s="128" t="s">
        <v>183</v>
      </c>
      <c r="D13" s="129">
        <f>SUM(D10:D12)</f>
        <v>367610.6</v>
      </c>
      <c r="E13" s="609"/>
      <c r="F13" s="613"/>
      <c r="H13" s="616"/>
      <c r="I13" s="608"/>
      <c r="J13" s="128" t="s">
        <v>183</v>
      </c>
      <c r="K13" s="129">
        <f>SUM(K10:K12)</f>
        <v>633768.53</v>
      </c>
      <c r="L13" s="609"/>
      <c r="M13" s="613"/>
      <c r="O13" s="607"/>
      <c r="P13" s="608"/>
      <c r="Q13" s="128" t="s">
        <v>183</v>
      </c>
      <c r="R13" s="129">
        <f>SUM(R12:R12)</f>
        <v>380971.61</v>
      </c>
      <c r="S13" s="609"/>
      <c r="T13" s="613"/>
      <c r="V13" s="604" t="s">
        <v>170</v>
      </c>
      <c r="W13" s="601">
        <v>270849.08</v>
      </c>
      <c r="X13" s="114">
        <v>45561</v>
      </c>
      <c r="Y13" s="113">
        <v>142940.04</v>
      </c>
      <c r="Z13" s="595">
        <f>W13-Y16</f>
        <v>0</v>
      </c>
      <c r="AA13" s="610" t="s">
        <v>184</v>
      </c>
      <c r="AD13" s="95" t="s">
        <v>175</v>
      </c>
      <c r="AE13" s="149">
        <f>E30</f>
        <v>0</v>
      </c>
      <c r="AF13" s="149">
        <f>L29</f>
        <v>0</v>
      </c>
      <c r="AG13" s="149">
        <f>S26</f>
        <v>0</v>
      </c>
      <c r="AH13" s="149">
        <f>Z25</f>
        <v>0</v>
      </c>
      <c r="AI13" s="97">
        <f t="shared" si="0"/>
        <v>0</v>
      </c>
      <c r="AJ13" s="105"/>
    </row>
    <row r="14" spans="1:36" ht="15.75" x14ac:dyDescent="0.25">
      <c r="A14" s="620" t="s">
        <v>170</v>
      </c>
      <c r="B14" s="608">
        <v>304498.09000000003</v>
      </c>
      <c r="C14" s="114">
        <v>44684</v>
      </c>
      <c r="D14" s="113">
        <f>77116.63</f>
        <v>77116.63</v>
      </c>
      <c r="E14" s="609">
        <f>B14-D17</f>
        <v>227381.46000000002</v>
      </c>
      <c r="F14" s="613"/>
      <c r="H14" s="616" t="s">
        <v>170</v>
      </c>
      <c r="I14" s="608">
        <v>425999.01</v>
      </c>
      <c r="J14" s="112"/>
      <c r="K14" s="113"/>
      <c r="L14" s="609">
        <f>I14-K17</f>
        <v>425999.01</v>
      </c>
      <c r="M14" s="613"/>
      <c r="O14" s="607" t="s">
        <v>170</v>
      </c>
      <c r="P14" s="608">
        <v>256009.63</v>
      </c>
      <c r="Q14" s="114">
        <v>45492</v>
      </c>
      <c r="R14" s="113">
        <v>203448.42</v>
      </c>
      <c r="S14" s="609">
        <f>P14-R17</f>
        <v>0</v>
      </c>
      <c r="T14" s="613" t="s">
        <v>184</v>
      </c>
      <c r="V14" s="605"/>
      <c r="W14" s="602"/>
      <c r="X14" s="114">
        <v>45576</v>
      </c>
      <c r="Y14" s="113">
        <v>127909.04</v>
      </c>
      <c r="Z14" s="596"/>
      <c r="AA14" s="611"/>
      <c r="AD14" s="95" t="s">
        <v>176</v>
      </c>
      <c r="AE14" s="149">
        <f>E34</f>
        <v>0</v>
      </c>
      <c r="AF14" s="149">
        <f>L33</f>
        <v>0</v>
      </c>
      <c r="AG14" s="149">
        <f>S30</f>
        <v>0</v>
      </c>
      <c r="AH14" s="149">
        <f>Z29</f>
        <v>1.0000000002037268E-2</v>
      </c>
      <c r="AI14" s="97">
        <f>SUM(AE14:AH14)</f>
        <v>1.0000000002037268E-2</v>
      </c>
      <c r="AJ14" s="105"/>
    </row>
    <row r="15" spans="1:36" ht="16.5" thickBot="1" x14ac:dyDescent="0.3">
      <c r="A15" s="620"/>
      <c r="B15" s="608"/>
      <c r="C15" s="112"/>
      <c r="D15" s="113"/>
      <c r="E15" s="609"/>
      <c r="F15" s="613"/>
      <c r="H15" s="616"/>
      <c r="I15" s="608"/>
      <c r="J15" s="112"/>
      <c r="K15" s="113"/>
      <c r="L15" s="609"/>
      <c r="M15" s="613"/>
      <c r="O15" s="607"/>
      <c r="P15" s="608"/>
      <c r="Q15" s="114">
        <v>45540</v>
      </c>
      <c r="R15" s="113">
        <v>52561.21</v>
      </c>
      <c r="S15" s="609"/>
      <c r="T15" s="613"/>
      <c r="V15" s="605"/>
      <c r="W15" s="602"/>
      <c r="X15" s="112"/>
      <c r="Y15" s="113"/>
      <c r="Z15" s="596"/>
      <c r="AA15" s="611"/>
      <c r="AD15" s="101" t="s">
        <v>177</v>
      </c>
      <c r="AE15" s="150">
        <f>E36</f>
        <v>204955.34</v>
      </c>
      <c r="AF15" s="150">
        <f>L35</f>
        <v>182522.95</v>
      </c>
      <c r="AG15" s="150">
        <f>S34</f>
        <v>63483.6</v>
      </c>
      <c r="AH15" s="150">
        <f>Z33</f>
        <v>67163.39</v>
      </c>
      <c r="AI15" s="97">
        <f t="shared" si="0"/>
        <v>518125.28</v>
      </c>
      <c r="AJ15" s="106"/>
    </row>
    <row r="16" spans="1:36" ht="16.5" thickBot="1" x14ac:dyDescent="0.3">
      <c r="A16" s="620"/>
      <c r="B16" s="608"/>
      <c r="C16" s="112"/>
      <c r="D16" s="113"/>
      <c r="E16" s="609"/>
      <c r="F16" s="613"/>
      <c r="H16" s="616"/>
      <c r="I16" s="608"/>
      <c r="J16" s="112"/>
      <c r="K16" s="113"/>
      <c r="L16" s="609"/>
      <c r="M16" s="613"/>
      <c r="O16" s="607"/>
      <c r="P16" s="608"/>
      <c r="Q16" s="112"/>
      <c r="R16" s="113"/>
      <c r="S16" s="609"/>
      <c r="T16" s="613"/>
      <c r="V16" s="606"/>
      <c r="W16" s="603"/>
      <c r="X16" s="128" t="s">
        <v>183</v>
      </c>
      <c r="Y16" s="129">
        <f>SUM(Y13:Y15)</f>
        <v>270849.08</v>
      </c>
      <c r="Z16" s="597"/>
      <c r="AA16" s="612"/>
      <c r="AD16" s="103" t="s">
        <v>20</v>
      </c>
      <c r="AE16" s="151">
        <f>SUM(AE5:AE15)</f>
        <v>779089.02000000014</v>
      </c>
      <c r="AF16" s="151">
        <f>SUM(AF5:AF15)</f>
        <v>948428.56</v>
      </c>
      <c r="AG16" s="151">
        <f>SUM(AG5:AG15)</f>
        <v>63483.6</v>
      </c>
      <c r="AH16" s="151">
        <f ca="1">SUM(AH5:AH15)</f>
        <v>208848.02000000002</v>
      </c>
      <c r="AI16" s="102">
        <f ca="1">SUM(AI5:AI15)</f>
        <v>1761846.31</v>
      </c>
      <c r="AJ16" s="152"/>
    </row>
    <row r="17" spans="1:36" ht="14.25" customHeight="1" x14ac:dyDescent="0.2">
      <c r="A17" s="620"/>
      <c r="B17" s="608"/>
      <c r="C17" s="128" t="s">
        <v>183</v>
      </c>
      <c r="D17" s="129">
        <f>SUM(D14:D16)</f>
        <v>77116.63</v>
      </c>
      <c r="E17" s="609"/>
      <c r="F17" s="613"/>
      <c r="H17" s="616"/>
      <c r="I17" s="608"/>
      <c r="J17" s="128" t="s">
        <v>183</v>
      </c>
      <c r="K17" s="129">
        <f>SUM(K14:K16)</f>
        <v>0</v>
      </c>
      <c r="L17" s="609"/>
      <c r="M17" s="613"/>
      <c r="O17" s="607"/>
      <c r="P17" s="608"/>
      <c r="Q17" s="128" t="s">
        <v>183</v>
      </c>
      <c r="R17" s="129">
        <f>SUM(R14:R16)</f>
        <v>256009.63</v>
      </c>
      <c r="S17" s="609"/>
      <c r="T17" s="613"/>
      <c r="V17" s="604" t="s">
        <v>171</v>
      </c>
      <c r="W17" s="601">
        <v>48953.31</v>
      </c>
      <c r="X17" s="114">
        <f>'Controle Receb. Condomínio'!I10</f>
        <v>0</v>
      </c>
      <c r="Y17" s="113">
        <v>48953.31</v>
      </c>
      <c r="Z17" s="595">
        <f>W17-Y18</f>
        <v>0</v>
      </c>
      <c r="AA17" s="598" t="s">
        <v>184</v>
      </c>
      <c r="AE17" s="154">
        <f>AE16-E40</f>
        <v>0</v>
      </c>
      <c r="AF17" s="154">
        <f>AF16-L39</f>
        <v>0</v>
      </c>
      <c r="AG17" s="154">
        <f>AG16-S38</f>
        <v>0</v>
      </c>
      <c r="AH17" s="154">
        <f ca="1">AH16-Z37</f>
        <v>737869.02</v>
      </c>
    </row>
    <row r="18" spans="1:36" ht="15" customHeight="1" x14ac:dyDescent="0.2">
      <c r="A18" s="620" t="s">
        <v>172</v>
      </c>
      <c r="B18" s="608">
        <v>555082</v>
      </c>
      <c r="C18" s="114">
        <v>44662</v>
      </c>
      <c r="D18" s="113">
        <v>140579.06</v>
      </c>
      <c r="E18" s="609">
        <f>B18-D20</f>
        <v>0</v>
      </c>
      <c r="F18" s="613" t="s">
        <v>184</v>
      </c>
      <c r="H18" s="616" t="s">
        <v>172</v>
      </c>
      <c r="I18" s="608">
        <v>776570.99</v>
      </c>
      <c r="J18" s="114">
        <v>45519</v>
      </c>
      <c r="K18" s="128">
        <v>776570.99</v>
      </c>
      <c r="L18" s="609">
        <f>I18-K21</f>
        <v>0</v>
      </c>
      <c r="M18" s="619" t="s">
        <v>184</v>
      </c>
      <c r="O18" s="607" t="s">
        <v>171</v>
      </c>
      <c r="P18" s="608">
        <v>46271.22</v>
      </c>
      <c r="Q18" s="114">
        <v>45390</v>
      </c>
      <c r="R18" s="113">
        <v>46271.22</v>
      </c>
      <c r="S18" s="609">
        <f>P18-R19</f>
        <v>0</v>
      </c>
      <c r="T18" s="613" t="s">
        <v>184</v>
      </c>
      <c r="V18" s="606"/>
      <c r="W18" s="603"/>
      <c r="X18" s="128" t="s">
        <v>183</v>
      </c>
      <c r="Y18" s="129">
        <f>SUM(Y17)</f>
        <v>48953.31</v>
      </c>
      <c r="Z18" s="597"/>
      <c r="AA18" s="600"/>
    </row>
    <row r="19" spans="1:36" ht="15" x14ac:dyDescent="0.2">
      <c r="A19" s="620"/>
      <c r="B19" s="608"/>
      <c r="C19" s="114">
        <v>45415</v>
      </c>
      <c r="D19" s="113">
        <v>414502.94</v>
      </c>
      <c r="E19" s="609"/>
      <c r="F19" s="613"/>
      <c r="H19" s="616"/>
      <c r="I19" s="608"/>
      <c r="J19" s="128"/>
      <c r="K19" s="129"/>
      <c r="L19" s="609"/>
      <c r="M19" s="619"/>
      <c r="O19" s="607"/>
      <c r="P19" s="608"/>
      <c r="Q19" s="128" t="s">
        <v>183</v>
      </c>
      <c r="R19" s="129">
        <f>SUM(R18)</f>
        <v>46271.22</v>
      </c>
      <c r="S19" s="609"/>
      <c r="T19" s="613"/>
      <c r="V19" s="604" t="s">
        <v>172</v>
      </c>
      <c r="W19" s="601">
        <v>519882.21</v>
      </c>
      <c r="X19" s="114">
        <v>45519</v>
      </c>
      <c r="Y19" s="113">
        <v>519882.21</v>
      </c>
      <c r="Z19" s="595">
        <f>W19-Y22</f>
        <v>0</v>
      </c>
      <c r="AA19" s="598" t="s">
        <v>184</v>
      </c>
    </row>
    <row r="20" spans="1:36" ht="15.75" thickBot="1" x14ac:dyDescent="0.25">
      <c r="A20" s="620"/>
      <c r="B20" s="608"/>
      <c r="C20" s="128" t="s">
        <v>183</v>
      </c>
      <c r="D20" s="129">
        <f>SUM(D18:D19)</f>
        <v>555082</v>
      </c>
      <c r="E20" s="609"/>
      <c r="F20" s="613"/>
      <c r="H20" s="616"/>
      <c r="I20" s="608"/>
      <c r="J20" s="112"/>
      <c r="K20" s="113"/>
      <c r="L20" s="609"/>
      <c r="M20" s="619"/>
      <c r="O20" s="607" t="s">
        <v>172</v>
      </c>
      <c r="P20" s="608">
        <v>491398.57</v>
      </c>
      <c r="Q20" s="114">
        <v>45519</v>
      </c>
      <c r="R20" s="113">
        <v>491398.57</v>
      </c>
      <c r="S20" s="609">
        <f>P20-R23</f>
        <v>0</v>
      </c>
      <c r="T20" s="598" t="s">
        <v>184</v>
      </c>
      <c r="V20" s="605"/>
      <c r="W20" s="602"/>
      <c r="X20" s="112"/>
      <c r="Y20" s="113"/>
      <c r="Z20" s="596"/>
      <c r="AA20" s="599"/>
    </row>
    <row r="21" spans="1:36" ht="16.5" thickBot="1" x14ac:dyDescent="0.25">
      <c r="A21" s="620" t="s">
        <v>173</v>
      </c>
      <c r="B21" s="608">
        <v>58325.04</v>
      </c>
      <c r="C21" s="114">
        <v>44712</v>
      </c>
      <c r="D21" s="113">
        <v>14771.29</v>
      </c>
      <c r="E21" s="609">
        <f>B21-D24</f>
        <v>0</v>
      </c>
      <c r="F21" s="613" t="s">
        <v>184</v>
      </c>
      <c r="H21" s="616"/>
      <c r="I21" s="608"/>
      <c r="J21" s="128" t="s">
        <v>183</v>
      </c>
      <c r="K21" s="129">
        <f>SUM(K18:K20)</f>
        <v>776570.99</v>
      </c>
      <c r="L21" s="609"/>
      <c r="M21" s="619"/>
      <c r="O21" s="607"/>
      <c r="P21" s="608"/>
      <c r="Q21" s="112"/>
      <c r="R21" s="113"/>
      <c r="S21" s="609"/>
      <c r="T21" s="599"/>
      <c r="V21" s="605"/>
      <c r="W21" s="602"/>
      <c r="X21" s="112"/>
      <c r="Y21" s="113"/>
      <c r="Z21" s="596"/>
      <c r="AA21" s="599"/>
      <c r="AD21" s="621" t="s">
        <v>263</v>
      </c>
      <c r="AE21" s="622"/>
      <c r="AF21" s="622"/>
      <c r="AG21" s="622"/>
      <c r="AH21" s="622"/>
      <c r="AI21" s="623"/>
      <c r="AJ21" s="624"/>
    </row>
    <row r="22" spans="1:36" ht="16.5" thickBot="1" x14ac:dyDescent="0.3">
      <c r="A22" s="620"/>
      <c r="B22" s="608"/>
      <c r="C22" s="114">
        <v>44883</v>
      </c>
      <c r="D22" s="113">
        <v>27257.08</v>
      </c>
      <c r="E22" s="609"/>
      <c r="F22" s="613"/>
      <c r="H22" s="616" t="s">
        <v>173</v>
      </c>
      <c r="I22" s="608">
        <v>60927.6</v>
      </c>
      <c r="J22" s="114">
        <v>45169</v>
      </c>
      <c r="K22" s="113">
        <v>37975.03</v>
      </c>
      <c r="L22" s="609">
        <f>I22-K24</f>
        <v>0</v>
      </c>
      <c r="M22" s="613" t="s">
        <v>184</v>
      </c>
      <c r="O22" s="607"/>
      <c r="P22" s="608"/>
      <c r="Q22" s="112"/>
      <c r="R22" s="113"/>
      <c r="S22" s="609"/>
      <c r="T22" s="599"/>
      <c r="V22" s="606"/>
      <c r="W22" s="603"/>
      <c r="X22" s="112" t="s">
        <v>183</v>
      </c>
      <c r="Y22" s="113">
        <f>SUM(Y19:Y21)</f>
        <v>519882.21</v>
      </c>
      <c r="Z22" s="597"/>
      <c r="AA22" s="600"/>
      <c r="AD22" s="212" t="s">
        <v>166</v>
      </c>
      <c r="AE22" s="212">
        <v>2022</v>
      </c>
      <c r="AF22" s="212">
        <v>2023</v>
      </c>
      <c r="AG22" s="212" t="s">
        <v>195</v>
      </c>
      <c r="AH22" s="212" t="s">
        <v>196</v>
      </c>
      <c r="AI22" s="212" t="s">
        <v>20</v>
      </c>
      <c r="AJ22" s="213" t="s">
        <v>167</v>
      </c>
    </row>
    <row r="23" spans="1:36" ht="15.75" x14ac:dyDescent="0.2">
      <c r="A23" s="620"/>
      <c r="B23" s="608"/>
      <c r="C23" s="114">
        <v>45432</v>
      </c>
      <c r="D23" s="113">
        <v>16296.67</v>
      </c>
      <c r="E23" s="609"/>
      <c r="F23" s="613"/>
      <c r="H23" s="616"/>
      <c r="I23" s="608"/>
      <c r="J23" s="114">
        <v>45432</v>
      </c>
      <c r="K23" s="113">
        <v>22952.57</v>
      </c>
      <c r="L23" s="609"/>
      <c r="M23" s="613"/>
      <c r="O23" s="607"/>
      <c r="P23" s="608"/>
      <c r="Q23" s="112" t="s">
        <v>183</v>
      </c>
      <c r="R23" s="113">
        <f>SUM(R20:R22)</f>
        <v>491398.57</v>
      </c>
      <c r="S23" s="609"/>
      <c r="T23" s="600"/>
      <c r="V23" s="604" t="s">
        <v>174</v>
      </c>
      <c r="W23" s="601">
        <v>270849.08</v>
      </c>
      <c r="X23" s="114">
        <v>45525</v>
      </c>
      <c r="Y23" s="113">
        <f>W23</f>
        <v>270849.08</v>
      </c>
      <c r="Z23" s="595">
        <f>W23-Y23</f>
        <v>0</v>
      </c>
      <c r="AA23" s="601" t="s">
        <v>184</v>
      </c>
      <c r="AD23" s="222" t="s">
        <v>168</v>
      </c>
      <c r="AE23" s="223">
        <f>E4</f>
        <v>116388.82</v>
      </c>
      <c r="AF23" s="223">
        <f>L4</f>
        <v>162830.32</v>
      </c>
      <c r="AG23" s="295">
        <f>S4</f>
        <v>0</v>
      </c>
      <c r="AH23" s="295">
        <f ca="1">Z4</f>
        <v>0</v>
      </c>
      <c r="AI23" s="283">
        <f ca="1">SUM(AE23:AH23)</f>
        <v>279219.14</v>
      </c>
      <c r="AJ23" s="224"/>
    </row>
    <row r="24" spans="1:36" ht="15.75" x14ac:dyDescent="0.2">
      <c r="A24" s="620"/>
      <c r="B24" s="608"/>
      <c r="C24" s="128" t="s">
        <v>183</v>
      </c>
      <c r="D24" s="129">
        <f>SUM(D21:D23)</f>
        <v>58325.04</v>
      </c>
      <c r="E24" s="609"/>
      <c r="F24" s="613"/>
      <c r="H24" s="616"/>
      <c r="I24" s="608"/>
      <c r="J24" s="128" t="s">
        <v>183</v>
      </c>
      <c r="K24" s="129">
        <f>SUM(K22:K23)</f>
        <v>60927.6</v>
      </c>
      <c r="L24" s="609"/>
      <c r="M24" s="613"/>
      <c r="O24" s="607" t="s">
        <v>174</v>
      </c>
      <c r="P24" s="608">
        <v>284585.33</v>
      </c>
      <c r="Q24" s="114">
        <v>45390</v>
      </c>
      <c r="R24" s="113">
        <v>284585.33</v>
      </c>
      <c r="S24" s="609">
        <f>P24-R24</f>
        <v>0</v>
      </c>
      <c r="T24" s="608" t="s">
        <v>184</v>
      </c>
      <c r="V24" s="606"/>
      <c r="W24" s="603"/>
      <c r="X24" s="128" t="s">
        <v>183</v>
      </c>
      <c r="Y24" s="129">
        <f>Y23</f>
        <v>270849.08</v>
      </c>
      <c r="Z24" s="597"/>
      <c r="AA24" s="603"/>
      <c r="AD24" s="218" t="s">
        <v>169</v>
      </c>
      <c r="AE24" s="219">
        <f>E8</f>
        <v>0</v>
      </c>
      <c r="AF24" s="219">
        <f>L8</f>
        <v>0</v>
      </c>
      <c r="AG24" s="219">
        <f>S8</f>
        <v>0</v>
      </c>
      <c r="AH24" s="219">
        <f>Z6</f>
        <v>0</v>
      </c>
      <c r="AI24" s="283">
        <f t="shared" ref="AI24:AI30" si="1">SUM(AE24:AH24)</f>
        <v>0</v>
      </c>
      <c r="AJ24" s="221"/>
    </row>
    <row r="25" spans="1:36" ht="15.75" x14ac:dyDescent="0.2">
      <c r="A25" s="620" t="s">
        <v>174</v>
      </c>
      <c r="B25" s="608">
        <v>378650.76</v>
      </c>
      <c r="C25" s="112"/>
      <c r="D25" s="113">
        <v>95704.29</v>
      </c>
      <c r="E25" s="609">
        <f>B25-D29</f>
        <v>106013.69000000006</v>
      </c>
      <c r="F25" s="608"/>
      <c r="H25" s="616" t="s">
        <v>174</v>
      </c>
      <c r="I25" s="608">
        <v>461187.22</v>
      </c>
      <c r="J25" s="112"/>
      <c r="K25" s="113">
        <f>284110.94</f>
        <v>284110.94</v>
      </c>
      <c r="L25" s="609">
        <f>I25-K28</f>
        <v>177076.27999999997</v>
      </c>
      <c r="M25" s="608"/>
      <c r="O25" s="607"/>
      <c r="P25" s="608"/>
      <c r="Q25" s="128" t="s">
        <v>183</v>
      </c>
      <c r="R25" s="129">
        <f>SUM(R24:R24)</f>
        <v>284585.33</v>
      </c>
      <c r="S25" s="609"/>
      <c r="T25" s="613"/>
      <c r="V25" s="604" t="s">
        <v>185</v>
      </c>
      <c r="W25" s="601">
        <v>148821.37</v>
      </c>
      <c r="X25" s="114">
        <v>45524</v>
      </c>
      <c r="Y25" s="113">
        <f>W25</f>
        <v>148821.37</v>
      </c>
      <c r="Z25" s="595">
        <f>W25-Y28</f>
        <v>0</v>
      </c>
      <c r="AA25" s="601" t="s">
        <v>184</v>
      </c>
      <c r="AD25" s="218" t="s">
        <v>152</v>
      </c>
      <c r="AE25" s="219">
        <f>E10</f>
        <v>124349.71000000002</v>
      </c>
      <c r="AF25" s="219">
        <f>L10</f>
        <v>0</v>
      </c>
      <c r="AG25" s="219">
        <f>S12</f>
        <v>0</v>
      </c>
      <c r="AH25" s="219">
        <f>Z10</f>
        <v>0</v>
      </c>
      <c r="AI25" s="283">
        <f t="shared" si="1"/>
        <v>124349.71000000002</v>
      </c>
      <c r="AJ25" s="221"/>
    </row>
    <row r="26" spans="1:36" ht="15.75" x14ac:dyDescent="0.2">
      <c r="A26" s="620"/>
      <c r="B26" s="608"/>
      <c r="C26" s="112"/>
      <c r="D26" s="113">
        <v>81560.94</v>
      </c>
      <c r="E26" s="609"/>
      <c r="F26" s="613"/>
      <c r="H26" s="616"/>
      <c r="I26" s="608"/>
      <c r="J26" s="112"/>
      <c r="K26" s="113"/>
      <c r="L26" s="609"/>
      <c r="M26" s="613"/>
      <c r="O26" s="607" t="s">
        <v>185</v>
      </c>
      <c r="P26" s="608">
        <v>140667.65</v>
      </c>
      <c r="Q26" s="114">
        <v>45467</v>
      </c>
      <c r="R26" s="113">
        <v>140667.65</v>
      </c>
      <c r="S26" s="609">
        <f>P26-R29</f>
        <v>0</v>
      </c>
      <c r="T26" s="608" t="s">
        <v>184</v>
      </c>
      <c r="V26" s="605"/>
      <c r="W26" s="602"/>
      <c r="X26" s="112"/>
      <c r="Y26" s="113"/>
      <c r="Z26" s="596"/>
      <c r="AA26" s="602"/>
      <c r="AD26" s="218" t="s">
        <v>170</v>
      </c>
      <c r="AE26" s="219">
        <f>E14</f>
        <v>227381.46000000002</v>
      </c>
      <c r="AF26" s="219">
        <f>L14</f>
        <v>425999.01</v>
      </c>
      <c r="AG26" s="296">
        <f>S14</f>
        <v>0</v>
      </c>
      <c r="AH26" s="296">
        <f>Z13</f>
        <v>0</v>
      </c>
      <c r="AI26" s="220">
        <f t="shared" si="1"/>
        <v>653380.47</v>
      </c>
      <c r="AJ26" s="221"/>
    </row>
    <row r="27" spans="1:36" ht="15.75" x14ac:dyDescent="0.2">
      <c r="A27" s="620"/>
      <c r="B27" s="608"/>
      <c r="C27" s="112"/>
      <c r="D27" s="113">
        <v>95371.839999999997</v>
      </c>
      <c r="E27" s="609"/>
      <c r="F27" s="613"/>
      <c r="H27" s="616"/>
      <c r="I27" s="608"/>
      <c r="J27" s="112"/>
      <c r="K27" s="113"/>
      <c r="L27" s="609"/>
      <c r="M27" s="613"/>
      <c r="O27" s="607"/>
      <c r="P27" s="608"/>
      <c r="Q27" s="112"/>
      <c r="R27" s="113"/>
      <c r="S27" s="609"/>
      <c r="T27" s="608"/>
      <c r="V27" s="605"/>
      <c r="W27" s="602"/>
      <c r="X27" s="112"/>
      <c r="Y27" s="113"/>
      <c r="Z27" s="596"/>
      <c r="AA27" s="602"/>
      <c r="AD27" s="218" t="s">
        <v>171</v>
      </c>
      <c r="AE27" s="219">
        <f>0</f>
        <v>0</v>
      </c>
      <c r="AF27" s="225">
        <f>0</f>
        <v>0</v>
      </c>
      <c r="AG27" s="219">
        <f>S18</f>
        <v>0</v>
      </c>
      <c r="AH27" s="219">
        <f>Z17</f>
        <v>0</v>
      </c>
      <c r="AI27" s="283">
        <f t="shared" si="1"/>
        <v>0</v>
      </c>
      <c r="AJ27" s="221"/>
    </row>
    <row r="28" spans="1:36" ht="15.75" x14ac:dyDescent="0.2">
      <c r="A28" s="620"/>
      <c r="B28" s="608"/>
      <c r="C28" s="112"/>
      <c r="D28" s="113"/>
      <c r="E28" s="609"/>
      <c r="F28" s="613"/>
      <c r="H28" s="616"/>
      <c r="I28" s="608"/>
      <c r="J28" s="128" t="s">
        <v>183</v>
      </c>
      <c r="K28" s="129">
        <f>SUM(K25:K27)</f>
        <v>284110.94</v>
      </c>
      <c r="L28" s="609"/>
      <c r="M28" s="613"/>
      <c r="O28" s="607"/>
      <c r="P28" s="608"/>
      <c r="Q28" s="112"/>
      <c r="R28" s="113"/>
      <c r="S28" s="609"/>
      <c r="T28" s="608"/>
      <c r="V28" s="606"/>
      <c r="W28" s="603"/>
      <c r="X28" s="128" t="s">
        <v>183</v>
      </c>
      <c r="Y28" s="129">
        <f>SUM(Y25:Y27)</f>
        <v>148821.37</v>
      </c>
      <c r="Z28" s="597"/>
      <c r="AA28" s="603"/>
      <c r="AD28" s="218" t="s">
        <v>172</v>
      </c>
      <c r="AE28" s="219">
        <f>E18</f>
        <v>0</v>
      </c>
      <c r="AF28" s="296">
        <f>L18</f>
        <v>0</v>
      </c>
      <c r="AG28" s="296">
        <f>S20</f>
        <v>0</v>
      </c>
      <c r="AH28" s="219">
        <f>Z19</f>
        <v>0</v>
      </c>
      <c r="AI28" s="283">
        <f t="shared" si="1"/>
        <v>0</v>
      </c>
      <c r="AJ28" s="259"/>
    </row>
    <row r="29" spans="1:36" ht="15.75" x14ac:dyDescent="0.2">
      <c r="A29" s="620"/>
      <c r="B29" s="608"/>
      <c r="C29" s="128" t="s">
        <v>183</v>
      </c>
      <c r="D29" s="129">
        <f>SUM(D25:D28)</f>
        <v>272637.06999999995</v>
      </c>
      <c r="E29" s="609"/>
      <c r="F29" s="613"/>
      <c r="H29" s="616" t="s">
        <v>185</v>
      </c>
      <c r="I29" s="608">
        <v>238423.5</v>
      </c>
      <c r="J29" s="114">
        <f>'Controle Receb. Condomínio'!I30</f>
        <v>0</v>
      </c>
      <c r="K29" s="113">
        <v>238423.5</v>
      </c>
      <c r="L29" s="609">
        <f>I29-K32</f>
        <v>0</v>
      </c>
      <c r="M29" s="608" t="s">
        <v>184</v>
      </c>
      <c r="O29" s="607"/>
      <c r="P29" s="608"/>
      <c r="Q29" s="128" t="s">
        <v>183</v>
      </c>
      <c r="R29" s="129">
        <f>SUM(R26:R28)</f>
        <v>140667.65</v>
      </c>
      <c r="S29" s="609"/>
      <c r="T29" s="608"/>
      <c r="V29" s="604" t="s">
        <v>176</v>
      </c>
      <c r="W29" s="601">
        <v>20663.38</v>
      </c>
      <c r="X29" s="114">
        <v>45545</v>
      </c>
      <c r="Y29" s="113">
        <v>6887.79</v>
      </c>
      <c r="Z29" s="595">
        <f>W29-Y32</f>
        <v>1.0000000002037268E-2</v>
      </c>
      <c r="AA29" s="610" t="s">
        <v>184</v>
      </c>
      <c r="AD29" s="218" t="s">
        <v>173</v>
      </c>
      <c r="AE29" s="219">
        <f>E21</f>
        <v>0</v>
      </c>
      <c r="AF29" s="219">
        <f>L22</f>
        <v>0</v>
      </c>
      <c r="AG29" s="219">
        <v>0</v>
      </c>
      <c r="AH29" s="219">
        <f>0</f>
        <v>0</v>
      </c>
      <c r="AI29" s="220">
        <f t="shared" si="1"/>
        <v>0</v>
      </c>
      <c r="AJ29" s="221"/>
    </row>
    <row r="30" spans="1:36" ht="30" x14ac:dyDescent="0.2">
      <c r="A30" s="620" t="s">
        <v>185</v>
      </c>
      <c r="B30" s="608">
        <v>167418.99</v>
      </c>
      <c r="C30" s="114">
        <f>'Controle Receb. Condomínio'!I30</f>
        <v>0</v>
      </c>
      <c r="D30" s="113">
        <v>167418.99</v>
      </c>
      <c r="E30" s="609">
        <f>B30-D33</f>
        <v>0</v>
      </c>
      <c r="F30" s="608" t="s">
        <v>184</v>
      </c>
      <c r="H30" s="616"/>
      <c r="I30" s="608"/>
      <c r="J30" s="112"/>
      <c r="K30" s="113"/>
      <c r="L30" s="609"/>
      <c r="M30" s="608"/>
      <c r="O30" s="607" t="s">
        <v>176</v>
      </c>
      <c r="P30" s="608">
        <v>19531.259999999998</v>
      </c>
      <c r="Q30" s="114">
        <v>45453</v>
      </c>
      <c r="R30" s="113">
        <v>6510.42</v>
      </c>
      <c r="S30" s="609">
        <f>P30-R33</f>
        <v>0</v>
      </c>
      <c r="T30" s="130" t="s">
        <v>191</v>
      </c>
      <c r="V30" s="605"/>
      <c r="W30" s="602"/>
      <c r="X30" s="114">
        <v>45575</v>
      </c>
      <c r="Y30" s="113">
        <v>6887.79</v>
      </c>
      <c r="Z30" s="596"/>
      <c r="AA30" s="611"/>
      <c r="AD30" s="218" t="s">
        <v>174</v>
      </c>
      <c r="AE30" s="219">
        <f>E25</f>
        <v>106013.69000000006</v>
      </c>
      <c r="AF30" s="219">
        <f>L25</f>
        <v>177076.27999999997</v>
      </c>
      <c r="AG30" s="219">
        <f>S24</f>
        <v>0</v>
      </c>
      <c r="AH30" s="296">
        <f>Z23</f>
        <v>0</v>
      </c>
      <c r="AI30" s="220">
        <f t="shared" si="1"/>
        <v>283089.97000000003</v>
      </c>
      <c r="AJ30" s="221"/>
    </row>
    <row r="31" spans="1:36" ht="30" x14ac:dyDescent="0.2">
      <c r="A31" s="620"/>
      <c r="B31" s="608"/>
      <c r="C31" s="112"/>
      <c r="D31" s="113"/>
      <c r="E31" s="609"/>
      <c r="F31" s="608"/>
      <c r="H31" s="616"/>
      <c r="I31" s="608"/>
      <c r="J31" s="112"/>
      <c r="K31" s="113"/>
      <c r="L31" s="609"/>
      <c r="M31" s="608"/>
      <c r="O31" s="607"/>
      <c r="P31" s="608"/>
      <c r="Q31" s="114">
        <v>45464</v>
      </c>
      <c r="R31" s="113">
        <v>6510.42</v>
      </c>
      <c r="S31" s="609"/>
      <c r="T31" s="130" t="s">
        <v>192</v>
      </c>
      <c r="V31" s="605"/>
      <c r="W31" s="602"/>
      <c r="X31" s="114">
        <v>45607</v>
      </c>
      <c r="Y31" s="113">
        <v>6887.79</v>
      </c>
      <c r="Z31" s="596"/>
      <c r="AA31" s="611"/>
      <c r="AD31" s="218" t="s">
        <v>175</v>
      </c>
      <c r="AE31" s="219">
        <f>E30</f>
        <v>0</v>
      </c>
      <c r="AF31" s="219">
        <f>L29</f>
        <v>0</v>
      </c>
      <c r="AG31" s="219">
        <f>S26</f>
        <v>0</v>
      </c>
      <c r="AH31" s="296">
        <f>Z25</f>
        <v>0</v>
      </c>
      <c r="AI31" s="220">
        <f>SUM(AE31:AH31)</f>
        <v>0</v>
      </c>
      <c r="AJ31" s="221"/>
    </row>
    <row r="32" spans="1:36" ht="31.5" x14ac:dyDescent="0.2">
      <c r="A32" s="620"/>
      <c r="B32" s="608"/>
      <c r="C32" s="112"/>
      <c r="D32" s="113"/>
      <c r="E32" s="609"/>
      <c r="F32" s="608"/>
      <c r="H32" s="616"/>
      <c r="I32" s="608"/>
      <c r="J32" s="128" t="s">
        <v>183</v>
      </c>
      <c r="K32" s="129">
        <f>SUM(K29:K31)</f>
        <v>238423.5</v>
      </c>
      <c r="L32" s="609"/>
      <c r="M32" s="608"/>
      <c r="O32" s="607"/>
      <c r="P32" s="608"/>
      <c r="Q32" s="266">
        <v>45485</v>
      </c>
      <c r="R32" s="267">
        <f>+R31</f>
        <v>6510.42</v>
      </c>
      <c r="S32" s="609"/>
      <c r="T32" s="130" t="s">
        <v>193</v>
      </c>
      <c r="V32" s="606"/>
      <c r="W32" s="603"/>
      <c r="X32" s="128" t="s">
        <v>183</v>
      </c>
      <c r="Y32" s="129">
        <f>SUM(Y29:Y31)</f>
        <v>20663.37</v>
      </c>
      <c r="Z32" s="597"/>
      <c r="AA32" s="612"/>
      <c r="AD32" s="218" t="s">
        <v>176</v>
      </c>
      <c r="AE32" s="219">
        <v>0</v>
      </c>
      <c r="AF32" s="219">
        <f>0</f>
        <v>0</v>
      </c>
      <c r="AG32" s="219">
        <v>0</v>
      </c>
      <c r="AH32" s="219">
        <v>0</v>
      </c>
      <c r="AI32" s="220">
        <f>SUM(AE32:AH32)</f>
        <v>0</v>
      </c>
      <c r="AJ32" s="229" t="s">
        <v>264</v>
      </c>
    </row>
    <row r="33" spans="1:36" ht="16.5" thickBot="1" x14ac:dyDescent="0.25">
      <c r="A33" s="620"/>
      <c r="B33" s="608"/>
      <c r="C33" s="112" t="s">
        <v>183</v>
      </c>
      <c r="D33" s="113">
        <f>SUM(D30:D32)</f>
        <v>167418.99</v>
      </c>
      <c r="E33" s="609"/>
      <c r="F33" s="608"/>
      <c r="H33" s="616" t="s">
        <v>176</v>
      </c>
      <c r="I33" s="608">
        <v>33442.129999999997</v>
      </c>
      <c r="J33" s="112" t="s">
        <v>189</v>
      </c>
      <c r="K33" s="113">
        <v>33442.129999999997</v>
      </c>
      <c r="L33" s="609">
        <f>I33-K34</f>
        <v>0</v>
      </c>
      <c r="M33" s="613" t="s">
        <v>184</v>
      </c>
      <c r="O33" s="607"/>
      <c r="P33" s="608"/>
      <c r="Q33" s="128" t="s">
        <v>183</v>
      </c>
      <c r="R33" s="129">
        <f>SUM(R30:R32)</f>
        <v>19531.260000000002</v>
      </c>
      <c r="S33" s="609"/>
      <c r="T33" s="131"/>
      <c r="V33" s="604" t="s">
        <v>177</v>
      </c>
      <c r="W33" s="601">
        <v>67163.39</v>
      </c>
      <c r="X33" s="112"/>
      <c r="Y33" s="113"/>
      <c r="Z33" s="595">
        <f>W33-Y36</f>
        <v>67163.39</v>
      </c>
      <c r="AA33" s="598"/>
      <c r="AD33" s="226" t="s">
        <v>177</v>
      </c>
      <c r="AE33" s="227">
        <f>E36</f>
        <v>204955.34</v>
      </c>
      <c r="AF33" s="227">
        <f>L35</f>
        <v>182522.95</v>
      </c>
      <c r="AG33" s="227">
        <f>S34</f>
        <v>63483.6</v>
      </c>
      <c r="AH33" s="227">
        <f>Z33</f>
        <v>67163.39</v>
      </c>
      <c r="AI33" s="220">
        <f>SUM(AE33:AH33)</f>
        <v>518125.28</v>
      </c>
      <c r="AJ33" s="228"/>
    </row>
    <row r="34" spans="1:36" ht="16.5" thickBot="1" x14ac:dyDescent="0.3">
      <c r="A34" s="620" t="s">
        <v>176</v>
      </c>
      <c r="B34" s="608">
        <v>23662.53</v>
      </c>
      <c r="C34" s="114" t="s">
        <v>186</v>
      </c>
      <c r="D34" s="113">
        <v>23662.53</v>
      </c>
      <c r="E34" s="609">
        <f>B34-D35</f>
        <v>0</v>
      </c>
      <c r="F34" s="613" t="s">
        <v>184</v>
      </c>
      <c r="H34" s="616"/>
      <c r="I34" s="608"/>
      <c r="J34" s="128" t="s">
        <v>183</v>
      </c>
      <c r="K34" s="129">
        <f>SUM(K33:K33)</f>
        <v>33442.129999999997</v>
      </c>
      <c r="L34" s="609"/>
      <c r="M34" s="613"/>
      <c r="O34" s="607" t="s">
        <v>177</v>
      </c>
      <c r="P34" s="608">
        <v>63483.6</v>
      </c>
      <c r="Q34" s="112"/>
      <c r="R34" s="113"/>
      <c r="S34" s="609">
        <f>P34-R37</f>
        <v>63483.6</v>
      </c>
      <c r="T34" s="613"/>
      <c r="V34" s="605"/>
      <c r="W34" s="602"/>
      <c r="X34" s="112"/>
      <c r="Y34" s="113"/>
      <c r="Z34" s="596"/>
      <c r="AA34" s="599"/>
      <c r="AD34" s="214" t="s">
        <v>20</v>
      </c>
      <c r="AE34" s="215">
        <f>SUM(AE23:AE33)</f>
        <v>779089.02000000014</v>
      </c>
      <c r="AF34" s="215">
        <f>SUM(AF23:AF33)</f>
        <v>948428.56</v>
      </c>
      <c r="AG34" s="215">
        <f>SUM(AG23:AG33)</f>
        <v>63483.6</v>
      </c>
      <c r="AH34" s="215">
        <f ca="1">SUM(AH23:AH33)</f>
        <v>195072.43</v>
      </c>
      <c r="AI34" s="216">
        <f ca="1">SUM(AI23:AI33)</f>
        <v>1987681.77</v>
      </c>
      <c r="AJ34" s="217"/>
    </row>
    <row r="35" spans="1:36" ht="15" x14ac:dyDescent="0.2">
      <c r="A35" s="620"/>
      <c r="B35" s="608"/>
      <c r="C35" s="128" t="s">
        <v>183</v>
      </c>
      <c r="D35" s="129">
        <f>SUM(D34:D34)</f>
        <v>23662.53</v>
      </c>
      <c r="E35" s="609"/>
      <c r="F35" s="613"/>
      <c r="H35" s="616" t="s">
        <v>177</v>
      </c>
      <c r="I35" s="608">
        <v>182522.95</v>
      </c>
      <c r="J35" s="112"/>
      <c r="K35" s="113"/>
      <c r="L35" s="609">
        <f>I35-K38</f>
        <v>182522.95</v>
      </c>
      <c r="M35" s="613"/>
      <c r="O35" s="607"/>
      <c r="P35" s="608"/>
      <c r="Q35" s="112"/>
      <c r="R35" s="113"/>
      <c r="S35" s="609"/>
      <c r="T35" s="613"/>
      <c r="V35" s="605"/>
      <c r="W35" s="602"/>
      <c r="X35" s="112"/>
      <c r="Y35" s="113"/>
      <c r="Z35" s="596"/>
      <c r="AA35" s="599"/>
      <c r="AE35" s="154">
        <f>E40-AE34</f>
        <v>0</v>
      </c>
      <c r="AF35" s="154">
        <f>L39-AF34</f>
        <v>0</v>
      </c>
      <c r="AG35" s="154">
        <f>AG34-S38</f>
        <v>0</v>
      </c>
      <c r="AH35" s="154">
        <f ca="1">AH34-Z37</f>
        <v>-13775.590000000026</v>
      </c>
      <c r="AI35" s="43">
        <f ca="1">AI34-AI16</f>
        <v>-595357.79999999981</v>
      </c>
    </row>
    <row r="36" spans="1:36" ht="15" x14ac:dyDescent="0.2">
      <c r="A36" s="620" t="s">
        <v>177</v>
      </c>
      <c r="B36" s="608">
        <v>204955.34</v>
      </c>
      <c r="C36" s="112"/>
      <c r="D36" s="113"/>
      <c r="E36" s="609">
        <f>B36-D39</f>
        <v>204955.34</v>
      </c>
      <c r="F36" s="613"/>
      <c r="H36" s="616"/>
      <c r="I36" s="608"/>
      <c r="J36" s="112"/>
      <c r="K36" s="113"/>
      <c r="L36" s="609"/>
      <c r="M36" s="613"/>
      <c r="O36" s="607"/>
      <c r="P36" s="608"/>
      <c r="Q36" s="112"/>
      <c r="R36" s="113"/>
      <c r="S36" s="609"/>
      <c r="T36" s="613"/>
      <c r="V36" s="606"/>
      <c r="W36" s="603"/>
      <c r="X36" s="128" t="s">
        <v>183</v>
      </c>
      <c r="Y36" s="129">
        <f>SUM(Y33:Y35)</f>
        <v>0</v>
      </c>
      <c r="Z36" s="597"/>
      <c r="AA36" s="600"/>
    </row>
    <row r="37" spans="1:36" ht="15" x14ac:dyDescent="0.2">
      <c r="A37" s="620"/>
      <c r="B37" s="608"/>
      <c r="C37" s="112"/>
      <c r="D37" s="113"/>
      <c r="E37" s="609"/>
      <c r="F37" s="613"/>
      <c r="H37" s="616"/>
      <c r="I37" s="608"/>
      <c r="J37" s="112"/>
      <c r="K37" s="113"/>
      <c r="L37" s="609"/>
      <c r="M37" s="613"/>
      <c r="O37" s="607"/>
      <c r="P37" s="608"/>
      <c r="Q37" s="128" t="s">
        <v>183</v>
      </c>
      <c r="R37" s="129">
        <f>SUM(R34:R36)</f>
        <v>0</v>
      </c>
      <c r="S37" s="609"/>
      <c r="T37" s="613"/>
      <c r="V37" s="141" t="s">
        <v>187</v>
      </c>
      <c r="W37" s="142">
        <f>SUM(W4:W36)</f>
        <v>2378728.4400000004</v>
      </c>
      <c r="X37" s="143"/>
      <c r="Y37" s="144">
        <f ca="1">Y36+Y32+Y28+Y24+Y22+Y18+Y16+Y12+Y9+Y5</f>
        <v>2169880.42</v>
      </c>
      <c r="Z37" s="145">
        <f ca="1">SUM(Z4:Z36)</f>
        <v>208848.02000000002</v>
      </c>
      <c r="AA37" s="76"/>
    </row>
    <row r="38" spans="1:36" ht="15" x14ac:dyDescent="0.2">
      <c r="A38" s="620"/>
      <c r="B38" s="608"/>
      <c r="C38" s="112"/>
      <c r="D38" s="113"/>
      <c r="E38" s="609"/>
      <c r="F38" s="613"/>
      <c r="H38" s="616"/>
      <c r="I38" s="608"/>
      <c r="J38" s="128" t="s">
        <v>183</v>
      </c>
      <c r="K38" s="129">
        <f>SUM(K35:K37)</f>
        <v>0</v>
      </c>
      <c r="L38" s="609"/>
      <c r="M38" s="613"/>
      <c r="O38" s="132" t="s">
        <v>187</v>
      </c>
      <c r="P38" s="133">
        <f>SUM(P4:P37)</f>
        <v>2157920.0299999998</v>
      </c>
      <c r="Q38" s="134"/>
      <c r="R38" s="135">
        <f>R37+R33+R29+R25+R23+R19+R17+R13+R11+R7</f>
        <v>2094436.4300000002</v>
      </c>
      <c r="S38" s="136">
        <f>SUM(S4:S37)</f>
        <v>63483.6</v>
      </c>
      <c r="T38" s="76"/>
    </row>
    <row r="39" spans="1:36" ht="14.25" x14ac:dyDescent="0.2">
      <c r="A39" s="620"/>
      <c r="B39" s="608"/>
      <c r="C39" s="128" t="s">
        <v>183</v>
      </c>
      <c r="D39" s="129">
        <f>SUM(D36:D38)</f>
        <v>0</v>
      </c>
      <c r="E39" s="609"/>
      <c r="F39" s="613"/>
      <c r="H39" s="115" t="s">
        <v>187</v>
      </c>
      <c r="I39" s="116">
        <f>SUM(I4:I38)</f>
        <v>3380011.5</v>
      </c>
      <c r="J39" s="117"/>
      <c r="K39" s="118">
        <f>K38+K34+K32+K28+K24+K21+K17+K13+K9+K7</f>
        <v>2431582.9400000004</v>
      </c>
      <c r="L39" s="119">
        <f>SUM(L4:L38)</f>
        <v>948428.56</v>
      </c>
      <c r="M39" s="120"/>
      <c r="AJ39" s="247"/>
    </row>
    <row r="40" spans="1:36" ht="14.25" x14ac:dyDescent="0.2">
      <c r="A40" s="121" t="s">
        <v>187</v>
      </c>
      <c r="B40" s="122">
        <f>SUM(B4:B39)</f>
        <v>2589957.8799999994</v>
      </c>
      <c r="C40" s="123"/>
      <c r="D40" s="124">
        <f>D39+D35+D33+D29+D24+D20+D17+D13+D9+D7</f>
        <v>1810868.8599999999</v>
      </c>
      <c r="E40" s="125">
        <f>SUM(E4:E39)</f>
        <v>779089.02000000014</v>
      </c>
      <c r="F40" s="120"/>
    </row>
  </sheetData>
  <mergeCells count="169">
    <mergeCell ref="AA23:AA24"/>
    <mergeCell ref="AA25:AA28"/>
    <mergeCell ref="Z25:Z28"/>
    <mergeCell ref="W25:W28"/>
    <mergeCell ref="V25:V28"/>
    <mergeCell ref="V23:V24"/>
    <mergeCell ref="W23:W24"/>
    <mergeCell ref="V4:V5"/>
    <mergeCell ref="W4:W5"/>
    <mergeCell ref="Z4:Z5"/>
    <mergeCell ref="AA4:AA5"/>
    <mergeCell ref="V6:V9"/>
    <mergeCell ref="W6:W9"/>
    <mergeCell ref="Z6:Z9"/>
    <mergeCell ref="AA6:AA9"/>
    <mergeCell ref="V10:V12"/>
    <mergeCell ref="W10:W12"/>
    <mergeCell ref="Z10:Z12"/>
    <mergeCell ref="AA10:AA12"/>
    <mergeCell ref="Z23:Z24"/>
    <mergeCell ref="AD21:AJ21"/>
    <mergeCell ref="E10:E13"/>
    <mergeCell ref="F10:F13"/>
    <mergeCell ref="AD3:AJ3"/>
    <mergeCell ref="A2:F2"/>
    <mergeCell ref="C3:D3"/>
    <mergeCell ref="A4:A7"/>
    <mergeCell ref="B4:B7"/>
    <mergeCell ref="E4:E7"/>
    <mergeCell ref="F4:F7"/>
    <mergeCell ref="H2:M2"/>
    <mergeCell ref="J3:K3"/>
    <mergeCell ref="H4:H7"/>
    <mergeCell ref="I4:I7"/>
    <mergeCell ref="L4:L7"/>
    <mergeCell ref="M4:M7"/>
    <mergeCell ref="A14:A17"/>
    <mergeCell ref="B14:B17"/>
    <mergeCell ref="E14:E17"/>
    <mergeCell ref="F14:F17"/>
    <mergeCell ref="A18:A20"/>
    <mergeCell ref="B18:B20"/>
    <mergeCell ref="H8:H9"/>
    <mergeCell ref="I8:I9"/>
    <mergeCell ref="A8:A9"/>
    <mergeCell ref="B8:B9"/>
    <mergeCell ref="E8:E9"/>
    <mergeCell ref="F8:F9"/>
    <mergeCell ref="A10:A13"/>
    <mergeCell ref="B10:B13"/>
    <mergeCell ref="I25:I28"/>
    <mergeCell ref="L25:L28"/>
    <mergeCell ref="A30:A33"/>
    <mergeCell ref="B30:B33"/>
    <mergeCell ref="E30:E33"/>
    <mergeCell ref="F30:F33"/>
    <mergeCell ref="A21:A24"/>
    <mergeCell ref="B21:B24"/>
    <mergeCell ref="E21:E24"/>
    <mergeCell ref="F21:F24"/>
    <mergeCell ref="A25:A29"/>
    <mergeCell ref="B25:B29"/>
    <mergeCell ref="E25:E29"/>
    <mergeCell ref="F25:F29"/>
    <mergeCell ref="A36:A39"/>
    <mergeCell ref="B36:B39"/>
    <mergeCell ref="E36:E39"/>
    <mergeCell ref="F36:F39"/>
    <mergeCell ref="A34:A35"/>
    <mergeCell ref="B34:B35"/>
    <mergeCell ref="E34:E35"/>
    <mergeCell ref="F34:F35"/>
    <mergeCell ref="E18:E20"/>
    <mergeCell ref="F18:F20"/>
    <mergeCell ref="O2:T2"/>
    <mergeCell ref="Q3:R3"/>
    <mergeCell ref="O4:O7"/>
    <mergeCell ref="P4:P7"/>
    <mergeCell ref="S4:S7"/>
    <mergeCell ref="T4:T7"/>
    <mergeCell ref="H29:H32"/>
    <mergeCell ref="I29:I32"/>
    <mergeCell ref="L29:L32"/>
    <mergeCell ref="M29:M32"/>
    <mergeCell ref="H22:H24"/>
    <mergeCell ref="I22:I24"/>
    <mergeCell ref="L22:L24"/>
    <mergeCell ref="M22:M24"/>
    <mergeCell ref="H25:H28"/>
    <mergeCell ref="M25:M28"/>
    <mergeCell ref="H14:H17"/>
    <mergeCell ref="I14:I17"/>
    <mergeCell ref="L14:L17"/>
    <mergeCell ref="M14:M17"/>
    <mergeCell ref="H18:H21"/>
    <mergeCell ref="I18:I21"/>
    <mergeCell ref="L18:L21"/>
    <mergeCell ref="M18:M21"/>
    <mergeCell ref="O8:O11"/>
    <mergeCell ref="P8:P11"/>
    <mergeCell ref="S8:S11"/>
    <mergeCell ref="T8:T11"/>
    <mergeCell ref="T12:T13"/>
    <mergeCell ref="H35:H38"/>
    <mergeCell ref="I35:I38"/>
    <mergeCell ref="L35:L38"/>
    <mergeCell ref="M35:M38"/>
    <mergeCell ref="H33:H34"/>
    <mergeCell ref="I33:I34"/>
    <mergeCell ref="L33:L34"/>
    <mergeCell ref="M33:M34"/>
    <mergeCell ref="L8:L9"/>
    <mergeCell ref="M8:M9"/>
    <mergeCell ref="H10:H13"/>
    <mergeCell ref="I10:I13"/>
    <mergeCell ref="L10:L13"/>
    <mergeCell ref="M10:M13"/>
    <mergeCell ref="P30:P33"/>
    <mergeCell ref="S30:S33"/>
    <mergeCell ref="S18:S19"/>
    <mergeCell ref="T18:T19"/>
    <mergeCell ref="V2:AA2"/>
    <mergeCell ref="X3:Y3"/>
    <mergeCell ref="O26:O29"/>
    <mergeCell ref="P26:P29"/>
    <mergeCell ref="S26:S29"/>
    <mergeCell ref="T26:T29"/>
    <mergeCell ref="O20:O23"/>
    <mergeCell ref="P20:P23"/>
    <mergeCell ref="S20:S23"/>
    <mergeCell ref="T20:T23"/>
    <mergeCell ref="O24:O25"/>
    <mergeCell ref="P24:P25"/>
    <mergeCell ref="S24:S25"/>
    <mergeCell ref="T24:T25"/>
    <mergeCell ref="O14:O17"/>
    <mergeCell ref="P14:P17"/>
    <mergeCell ref="S14:S17"/>
    <mergeCell ref="T14:T17"/>
    <mergeCell ref="O18:O19"/>
    <mergeCell ref="P18:P19"/>
    <mergeCell ref="AA29:AA32"/>
    <mergeCell ref="W29:W32"/>
    <mergeCell ref="V29:V32"/>
    <mergeCell ref="Z29:Z32"/>
    <mergeCell ref="Z33:Z36"/>
    <mergeCell ref="AA33:AA36"/>
    <mergeCell ref="W33:W36"/>
    <mergeCell ref="V33:V36"/>
    <mergeCell ref="O12:O13"/>
    <mergeCell ref="P12:P13"/>
    <mergeCell ref="S12:S13"/>
    <mergeCell ref="V13:V16"/>
    <mergeCell ref="W13:W16"/>
    <mergeCell ref="Z13:Z16"/>
    <mergeCell ref="AA13:AA16"/>
    <mergeCell ref="V17:V18"/>
    <mergeCell ref="W17:W18"/>
    <mergeCell ref="Z17:Z18"/>
    <mergeCell ref="AA17:AA18"/>
    <mergeCell ref="O34:O37"/>
    <mergeCell ref="P34:P37"/>
    <mergeCell ref="S34:S37"/>
    <mergeCell ref="T34:T37"/>
    <mergeCell ref="O30:O33"/>
    <mergeCell ref="V19:V22"/>
    <mergeCell ref="W19:W22"/>
    <mergeCell ref="Z19:Z22"/>
    <mergeCell ref="AA19:AA22"/>
  </mergeCells>
  <phoneticPr fontId="2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Execução Orçamentária</vt:lpstr>
      <vt:lpstr>CONSOLIDADO</vt:lpstr>
      <vt:lpstr>CONTROLE LDE</vt:lpstr>
      <vt:lpstr>Diárias</vt:lpstr>
      <vt:lpstr>Adiantamentos</vt:lpstr>
      <vt:lpstr>Pecúnia</vt:lpstr>
      <vt:lpstr>Progressão</vt:lpstr>
      <vt:lpstr>Despesas Condomínio</vt:lpstr>
      <vt:lpstr>RATEIO CONDOMÍNIO</vt:lpstr>
      <vt:lpstr>RATEIO CONDOMÍNIO 2025</vt:lpstr>
      <vt:lpstr>Controle Receb. Condomínio</vt:lpstr>
      <vt:lpstr>'Execução Orçamentária'!Area_de_impressao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Munhoz da Gama</dc:creator>
  <cp:lastModifiedBy>Bruna Munhoz da Gama</cp:lastModifiedBy>
  <cp:lastPrinted>2024-09-12T18:34:00Z</cp:lastPrinted>
  <dcterms:created xsi:type="dcterms:W3CDTF">2021-09-03T13:28:04Z</dcterms:created>
  <dcterms:modified xsi:type="dcterms:W3CDTF">2025-05-16T13:32:45Z</dcterms:modified>
</cp:coreProperties>
</file>